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khovarov.VINTUSWINES\Desktop\New folder\"/>
    </mc:Choice>
  </mc:AlternateContent>
  <xr:revisionPtr revIDLastSave="0" documentId="13_ncr:1_{4ACA47B8-4870-47C5-BFB1-F21CFEA2D609}" xr6:coauthVersionLast="38" xr6:coauthVersionMax="38" xr10:uidLastSave="{00000000-0000-0000-0000-000000000000}"/>
  <bookViews>
    <workbookView xWindow="360" yWindow="765" windowWidth="22995" windowHeight="10905" xr2:uid="{00000000-000D-0000-FFFF-FFFF00000000}"/>
  </bookViews>
  <sheets>
    <sheet name="Specs" sheetId="100" r:id="rId1"/>
    <sheet name="Sheet1" sheetId="101" r:id="rId2"/>
  </sheets>
  <definedNames>
    <definedName name="_xlnm._FilterDatabase" localSheetId="0" hidden="1">Specs!#REF!</definedName>
    <definedName name="InBatchBrandCode">Specs!#REF!</definedName>
    <definedName name="_xlnm.Print_Area" localSheetId="0">Specs!$B$1:$AE$195</definedName>
    <definedName name="_xlnm.Print_Titles" localSheetId="0">Specs!$2:$2</definedName>
  </definedNames>
  <calcPr calcId="181029"/>
</workbook>
</file>

<file path=xl/calcChain.xml><?xml version="1.0" encoding="utf-8"?>
<calcChain xmlns="http://schemas.openxmlformats.org/spreadsheetml/2006/main">
  <c r="AG32" i="100" l="1"/>
  <c r="AG33" i="100"/>
  <c r="AG34" i="100"/>
  <c r="P34" i="100" s="1"/>
  <c r="AG35" i="100"/>
  <c r="I32" i="100"/>
  <c r="I33" i="100"/>
  <c r="I34" i="100"/>
  <c r="I35" i="100"/>
  <c r="H32" i="100"/>
  <c r="H33" i="100"/>
  <c r="H34" i="100"/>
  <c r="H35" i="100"/>
  <c r="G32" i="100"/>
  <c r="G33" i="100"/>
  <c r="G34" i="100"/>
  <c r="G35" i="100"/>
  <c r="F32" i="100"/>
  <c r="F33" i="100"/>
  <c r="F34" i="100"/>
  <c r="F35" i="100"/>
  <c r="C32" i="100"/>
  <c r="C33" i="100"/>
  <c r="C34" i="100"/>
  <c r="C35" i="100"/>
  <c r="B32" i="100"/>
  <c r="B33" i="100"/>
  <c r="B34" i="100"/>
  <c r="B35" i="100"/>
  <c r="Q32" i="100"/>
  <c r="Q33" i="100"/>
  <c r="Q34" i="100"/>
  <c r="Q35" i="100"/>
  <c r="AE35" i="100"/>
  <c r="AD35" i="100"/>
  <c r="Z35" i="100"/>
  <c r="P35" i="100"/>
  <c r="O35" i="100"/>
  <c r="A35" i="100"/>
  <c r="AE34" i="100"/>
  <c r="AD34" i="100"/>
  <c r="Z34" i="100"/>
  <c r="O34" i="100"/>
  <c r="A34" i="100"/>
  <c r="AE33" i="100"/>
  <c r="AD33" i="100"/>
  <c r="Z33" i="100"/>
  <c r="P33" i="100"/>
  <c r="O33" i="100"/>
  <c r="A33" i="100"/>
  <c r="AG36" i="100"/>
  <c r="AG37" i="100"/>
  <c r="AG38" i="100"/>
  <c r="P38" i="100" s="1"/>
  <c r="AG39" i="100"/>
  <c r="I36" i="100"/>
  <c r="I37" i="100"/>
  <c r="I38" i="100"/>
  <c r="I39" i="100"/>
  <c r="H36" i="100"/>
  <c r="H37" i="100"/>
  <c r="H38" i="100"/>
  <c r="H39" i="100"/>
  <c r="G36" i="100"/>
  <c r="G37" i="100"/>
  <c r="G38" i="100"/>
  <c r="G39" i="100"/>
  <c r="F36" i="100"/>
  <c r="F37" i="100"/>
  <c r="F38" i="100"/>
  <c r="F39" i="100"/>
  <c r="C36" i="100"/>
  <c r="C37" i="100"/>
  <c r="C38" i="100"/>
  <c r="C39" i="100"/>
  <c r="B36" i="100"/>
  <c r="B37" i="100"/>
  <c r="B38" i="100"/>
  <c r="B39" i="100"/>
  <c r="Q36" i="100"/>
  <c r="Q37" i="100"/>
  <c r="Q38" i="100"/>
  <c r="O38" i="100" s="1"/>
  <c r="Q39" i="100"/>
  <c r="O39" i="100" s="1"/>
  <c r="AE39" i="100"/>
  <c r="AD39" i="100"/>
  <c r="Z39" i="100"/>
  <c r="P39" i="100"/>
  <c r="A39" i="100"/>
  <c r="AE38" i="100"/>
  <c r="AD38" i="100"/>
  <c r="Z38" i="100"/>
  <c r="A38" i="100"/>
  <c r="AE37" i="100"/>
  <c r="AD37" i="100"/>
  <c r="Z37" i="100"/>
  <c r="P37" i="100"/>
  <c r="O37" i="100"/>
  <c r="A37" i="100"/>
  <c r="AG40" i="100"/>
  <c r="AG41" i="100"/>
  <c r="AG42" i="100"/>
  <c r="AG43" i="100"/>
  <c r="I40" i="100"/>
  <c r="I41" i="100"/>
  <c r="I42" i="100"/>
  <c r="I43" i="100"/>
  <c r="H40" i="100"/>
  <c r="H41" i="100"/>
  <c r="H42" i="100"/>
  <c r="H43" i="100"/>
  <c r="G40" i="100"/>
  <c r="G41" i="100"/>
  <c r="G42" i="100"/>
  <c r="G43" i="100"/>
  <c r="F40" i="100"/>
  <c r="F41" i="100"/>
  <c r="F42" i="100"/>
  <c r="F43" i="100"/>
  <c r="C40" i="100"/>
  <c r="C41" i="100"/>
  <c r="C42" i="100"/>
  <c r="C43" i="100"/>
  <c r="B40" i="100"/>
  <c r="B41" i="100"/>
  <c r="B42" i="100"/>
  <c r="B43" i="100"/>
  <c r="Q40" i="100"/>
  <c r="Q41" i="100"/>
  <c r="Q42" i="100"/>
  <c r="O42" i="100" s="1"/>
  <c r="Q43" i="100"/>
  <c r="O43" i="100" s="1"/>
  <c r="AE43" i="100"/>
  <c r="AD43" i="100"/>
  <c r="Z43" i="100"/>
  <c r="P43" i="100"/>
  <c r="A43" i="100"/>
  <c r="AE42" i="100"/>
  <c r="AD42" i="100"/>
  <c r="Z42" i="100"/>
  <c r="P42" i="100"/>
  <c r="A42" i="100"/>
  <c r="AE41" i="100"/>
  <c r="AD41" i="100"/>
  <c r="Z41" i="100"/>
  <c r="P41" i="100"/>
  <c r="O41" i="100"/>
  <c r="A41" i="100"/>
  <c r="A45" i="100"/>
  <c r="AE45" i="100" l="1"/>
  <c r="AD45" i="100"/>
  <c r="Z45" i="100"/>
  <c r="P45" i="100"/>
  <c r="O45" i="100"/>
  <c r="A47" i="100"/>
  <c r="AD47" i="100" l="1"/>
  <c r="AE47" i="100"/>
  <c r="Z47" i="100"/>
  <c r="O47" i="100"/>
  <c r="P47" i="100"/>
  <c r="A49" i="100"/>
  <c r="AD49" i="100" l="1"/>
  <c r="Z49" i="100"/>
  <c r="AE49" i="100"/>
  <c r="O49" i="100"/>
  <c r="P49" i="100"/>
  <c r="A52" i="100"/>
  <c r="AD52" i="100" l="1"/>
  <c r="AE52" i="100"/>
  <c r="Z52" i="100"/>
  <c r="O52" i="100"/>
  <c r="P52" i="100"/>
  <c r="AG53" i="100"/>
  <c r="AG54" i="100"/>
  <c r="AG55" i="100"/>
  <c r="AG56" i="100"/>
  <c r="I53" i="100"/>
  <c r="I54" i="100"/>
  <c r="I55" i="100"/>
  <c r="I56" i="100"/>
  <c r="H53" i="100"/>
  <c r="H54" i="100"/>
  <c r="H55" i="100"/>
  <c r="H56" i="100"/>
  <c r="G53" i="100"/>
  <c r="G54" i="100"/>
  <c r="G55" i="100"/>
  <c r="G56" i="100"/>
  <c r="F53" i="100"/>
  <c r="F54" i="100"/>
  <c r="F55" i="100"/>
  <c r="F56" i="100"/>
  <c r="C53" i="100"/>
  <c r="C54" i="100"/>
  <c r="C55" i="100"/>
  <c r="C56" i="100"/>
  <c r="B53" i="100"/>
  <c r="B54" i="100"/>
  <c r="B55" i="100"/>
  <c r="B56" i="100"/>
  <c r="Q53" i="100"/>
  <c r="Q54" i="100"/>
  <c r="Q55" i="100"/>
  <c r="Q56" i="100"/>
  <c r="AE56" i="100"/>
  <c r="AD56" i="100"/>
  <c r="Z56" i="100"/>
  <c r="P56" i="100"/>
  <c r="O56" i="100"/>
  <c r="A56" i="100"/>
  <c r="AE55" i="100"/>
  <c r="AD55" i="100"/>
  <c r="Z55" i="100"/>
  <c r="P55" i="100"/>
  <c r="O55" i="100"/>
  <c r="A55" i="100"/>
  <c r="AE54" i="100"/>
  <c r="AD54" i="100"/>
  <c r="Z54" i="100"/>
  <c r="P54" i="100"/>
  <c r="O54" i="100"/>
  <c r="A54" i="100"/>
  <c r="A59" i="100"/>
  <c r="AE59" i="100" l="1"/>
  <c r="Z59" i="100"/>
  <c r="O59" i="100"/>
  <c r="AD59" i="100"/>
  <c r="P59" i="100"/>
  <c r="AG28" i="100"/>
  <c r="AG29" i="100"/>
  <c r="AG30" i="100"/>
  <c r="I28" i="100"/>
  <c r="I29" i="100"/>
  <c r="I30" i="100"/>
  <c r="H28" i="100"/>
  <c r="H29" i="100"/>
  <c r="H30" i="100"/>
  <c r="G28" i="100"/>
  <c r="G29" i="100"/>
  <c r="G30" i="100"/>
  <c r="F28" i="100"/>
  <c r="F29" i="100"/>
  <c r="F30" i="100"/>
  <c r="C28" i="100"/>
  <c r="C29" i="100"/>
  <c r="C30" i="100"/>
  <c r="B28" i="100"/>
  <c r="B29" i="100"/>
  <c r="B30" i="100"/>
  <c r="AE30" i="100"/>
  <c r="AD30" i="100"/>
  <c r="Z30" i="100"/>
  <c r="P30" i="100"/>
  <c r="O30" i="100"/>
  <c r="A30" i="100"/>
  <c r="AE29" i="100"/>
  <c r="AD29" i="100"/>
  <c r="Z29" i="100"/>
  <c r="P29" i="100"/>
  <c r="O29" i="100"/>
  <c r="A29" i="100"/>
  <c r="AG64" i="100"/>
  <c r="AG65" i="100"/>
  <c r="AG66" i="100"/>
  <c r="I64" i="100"/>
  <c r="I65" i="100"/>
  <c r="I66" i="100"/>
  <c r="H64" i="100"/>
  <c r="H65" i="100"/>
  <c r="H66" i="100"/>
  <c r="G64" i="100"/>
  <c r="G65" i="100"/>
  <c r="G66" i="100"/>
  <c r="F64" i="100"/>
  <c r="F65" i="100"/>
  <c r="F66" i="100"/>
  <c r="C64" i="100"/>
  <c r="C65" i="100"/>
  <c r="C66" i="100"/>
  <c r="B64" i="100"/>
  <c r="B65" i="100"/>
  <c r="B66" i="100"/>
  <c r="AE66" i="100"/>
  <c r="AD66" i="100"/>
  <c r="Z66" i="100"/>
  <c r="P66" i="100"/>
  <c r="O66" i="100"/>
  <c r="A66" i="100"/>
  <c r="AE65" i="100"/>
  <c r="AD65" i="100"/>
  <c r="Z65" i="100"/>
  <c r="P65" i="100"/>
  <c r="O65" i="100"/>
  <c r="A65" i="100"/>
  <c r="AG74" i="100"/>
  <c r="AG75" i="100"/>
  <c r="P75" i="100" s="1"/>
  <c r="AG76" i="100"/>
  <c r="P76" i="100" s="1"/>
  <c r="AG77" i="100"/>
  <c r="I74" i="100"/>
  <c r="I75" i="100"/>
  <c r="I76" i="100"/>
  <c r="I77" i="100"/>
  <c r="H74" i="100"/>
  <c r="H75" i="100"/>
  <c r="H76" i="100"/>
  <c r="H77" i="100"/>
  <c r="G74" i="100"/>
  <c r="G75" i="100"/>
  <c r="G76" i="100"/>
  <c r="G77" i="100"/>
  <c r="F74" i="100"/>
  <c r="F75" i="100"/>
  <c r="F76" i="100"/>
  <c r="F77" i="100"/>
  <c r="C74" i="100"/>
  <c r="C75" i="100"/>
  <c r="C76" i="100"/>
  <c r="C77" i="100"/>
  <c r="B74" i="100"/>
  <c r="B75" i="100"/>
  <c r="B76" i="100"/>
  <c r="B77" i="100"/>
  <c r="Q74" i="100"/>
  <c r="Q75" i="100"/>
  <c r="Q76" i="100"/>
  <c r="O76" i="100" s="1"/>
  <c r="Q77" i="100"/>
  <c r="O77" i="100" s="1"/>
  <c r="AE77" i="100"/>
  <c r="AD77" i="100"/>
  <c r="Z77" i="100"/>
  <c r="P77" i="100"/>
  <c r="A77" i="100"/>
  <c r="AE76" i="100"/>
  <c r="AD76" i="100"/>
  <c r="Z76" i="100"/>
  <c r="A76" i="100"/>
  <c r="AE75" i="100"/>
  <c r="AD75" i="100"/>
  <c r="Z75" i="100"/>
  <c r="O75" i="100"/>
  <c r="A75" i="100"/>
  <c r="A73" i="100"/>
  <c r="AD73" i="100" l="1"/>
  <c r="AE73" i="100"/>
  <c r="Z73" i="100"/>
  <c r="O73" i="100"/>
  <c r="P73" i="100"/>
  <c r="AG83" i="100"/>
  <c r="AG84" i="100"/>
  <c r="P84" i="100" s="1"/>
  <c r="AG85" i="100"/>
  <c r="AG86" i="100"/>
  <c r="P86" i="100" s="1"/>
  <c r="AG87" i="100"/>
  <c r="I83" i="100"/>
  <c r="I84" i="100"/>
  <c r="I85" i="100"/>
  <c r="I86" i="100"/>
  <c r="I87" i="100"/>
  <c r="H83" i="100"/>
  <c r="H84" i="100"/>
  <c r="H85" i="100"/>
  <c r="H86" i="100"/>
  <c r="H87" i="100"/>
  <c r="G83" i="100"/>
  <c r="G84" i="100"/>
  <c r="G85" i="100"/>
  <c r="G86" i="100"/>
  <c r="G87" i="100"/>
  <c r="F83" i="100"/>
  <c r="F84" i="100"/>
  <c r="F85" i="100"/>
  <c r="F86" i="100"/>
  <c r="F87" i="100"/>
  <c r="C83" i="100"/>
  <c r="C84" i="100"/>
  <c r="C85" i="100"/>
  <c r="C86" i="100"/>
  <c r="C87" i="100"/>
  <c r="B83" i="100"/>
  <c r="B84" i="100"/>
  <c r="B85" i="100"/>
  <c r="B86" i="100"/>
  <c r="B87" i="100"/>
  <c r="Q83" i="100"/>
  <c r="Q84" i="100"/>
  <c r="Q85" i="100"/>
  <c r="O85" i="100" s="1"/>
  <c r="Q86" i="100"/>
  <c r="Q87" i="100"/>
  <c r="O87" i="100" s="1"/>
  <c r="AE87" i="100"/>
  <c r="AD87" i="100"/>
  <c r="Z87" i="100"/>
  <c r="P87" i="100"/>
  <c r="A87" i="100"/>
  <c r="AE86" i="100"/>
  <c r="AD86" i="100"/>
  <c r="Z86" i="100"/>
  <c r="O86" i="100"/>
  <c r="A86" i="100"/>
  <c r="AE85" i="100"/>
  <c r="AD85" i="100"/>
  <c r="Z85" i="100"/>
  <c r="P85" i="100"/>
  <c r="A85" i="100"/>
  <c r="AE84" i="100"/>
  <c r="AD84" i="100"/>
  <c r="Z84" i="100"/>
  <c r="O84" i="100"/>
  <c r="A84" i="100"/>
  <c r="AG88" i="100"/>
  <c r="AG89" i="100"/>
  <c r="AG90" i="100"/>
  <c r="AG91" i="100"/>
  <c r="I88" i="100"/>
  <c r="I89" i="100"/>
  <c r="I90" i="100"/>
  <c r="I91" i="100"/>
  <c r="H88" i="100"/>
  <c r="H89" i="100"/>
  <c r="H90" i="100"/>
  <c r="H91" i="100"/>
  <c r="G88" i="100"/>
  <c r="G89" i="100"/>
  <c r="G90" i="100"/>
  <c r="G91" i="100"/>
  <c r="F88" i="100"/>
  <c r="F89" i="100"/>
  <c r="F90" i="100"/>
  <c r="F91" i="100"/>
  <c r="C88" i="100"/>
  <c r="C89" i="100"/>
  <c r="C90" i="100"/>
  <c r="C91" i="100"/>
  <c r="B88" i="100"/>
  <c r="B89" i="100"/>
  <c r="B90" i="100"/>
  <c r="B91" i="100"/>
  <c r="Q88" i="100"/>
  <c r="Q89" i="100"/>
  <c r="O89" i="100" s="1"/>
  <c r="Q90" i="100"/>
  <c r="Q91" i="100"/>
  <c r="O91" i="100" s="1"/>
  <c r="AE91" i="100"/>
  <c r="AD91" i="100"/>
  <c r="Z91" i="100"/>
  <c r="P91" i="100"/>
  <c r="A91" i="100"/>
  <c r="AE90" i="100"/>
  <c r="AD90" i="100"/>
  <c r="Z90" i="100"/>
  <c r="P90" i="100"/>
  <c r="O90" i="100"/>
  <c r="A90" i="100"/>
  <c r="AE89" i="100"/>
  <c r="AD89" i="100"/>
  <c r="Z89" i="100"/>
  <c r="P89" i="100"/>
  <c r="A89" i="100"/>
  <c r="AG92" i="100"/>
  <c r="AG93" i="100"/>
  <c r="AG94" i="100"/>
  <c r="P94" i="100" s="1"/>
  <c r="I92" i="100"/>
  <c r="I93" i="100"/>
  <c r="I94" i="100"/>
  <c r="H92" i="100"/>
  <c r="H93" i="100"/>
  <c r="H94" i="100"/>
  <c r="G92" i="100"/>
  <c r="G93" i="100"/>
  <c r="G94" i="100"/>
  <c r="F92" i="100"/>
  <c r="F93" i="100"/>
  <c r="F94" i="100"/>
  <c r="C92" i="100"/>
  <c r="C93" i="100"/>
  <c r="C94" i="100"/>
  <c r="B92" i="100"/>
  <c r="B93" i="100"/>
  <c r="B94" i="100"/>
  <c r="Q92" i="100"/>
  <c r="Q93" i="100"/>
  <c r="O93" i="100" s="1"/>
  <c r="Q94" i="100"/>
  <c r="AE94" i="100"/>
  <c r="AD94" i="100"/>
  <c r="Z94" i="100"/>
  <c r="O94" i="100"/>
  <c r="A94" i="100"/>
  <c r="AE93" i="100"/>
  <c r="AD93" i="100"/>
  <c r="Z93" i="100"/>
  <c r="P93" i="100"/>
  <c r="A93" i="100"/>
  <c r="AG95" i="100"/>
  <c r="AG96" i="100"/>
  <c r="AG97" i="100"/>
  <c r="P97" i="100" s="1"/>
  <c r="I95" i="100"/>
  <c r="I96" i="100"/>
  <c r="I97" i="100"/>
  <c r="H95" i="100"/>
  <c r="H96" i="100"/>
  <c r="H97" i="100"/>
  <c r="G95" i="100"/>
  <c r="G96" i="100"/>
  <c r="G97" i="100"/>
  <c r="F95" i="100"/>
  <c r="F96" i="100"/>
  <c r="F97" i="100"/>
  <c r="C95" i="100"/>
  <c r="C96" i="100"/>
  <c r="C97" i="100"/>
  <c r="B95" i="100"/>
  <c r="B96" i="100"/>
  <c r="B97" i="100"/>
  <c r="Q95" i="100"/>
  <c r="Q96" i="100"/>
  <c r="O96" i="100" s="1"/>
  <c r="Q97" i="100"/>
  <c r="AE97" i="100"/>
  <c r="AD97" i="100"/>
  <c r="Z97" i="100"/>
  <c r="O97" i="100"/>
  <c r="A97" i="100"/>
  <c r="AE96" i="100"/>
  <c r="AD96" i="100"/>
  <c r="Z96" i="100"/>
  <c r="P96" i="100"/>
  <c r="A96" i="100"/>
  <c r="AG100" i="100"/>
  <c r="AG101" i="100"/>
  <c r="AG102" i="100"/>
  <c r="P102" i="100" s="1"/>
  <c r="I100" i="100"/>
  <c r="I101" i="100"/>
  <c r="I102" i="100"/>
  <c r="H100" i="100"/>
  <c r="H101" i="100"/>
  <c r="H102" i="100"/>
  <c r="G100" i="100"/>
  <c r="G101" i="100"/>
  <c r="G102" i="100"/>
  <c r="F100" i="100"/>
  <c r="F101" i="100"/>
  <c r="F102" i="100"/>
  <c r="C100" i="100"/>
  <c r="C101" i="100"/>
  <c r="C102" i="100"/>
  <c r="B100" i="100"/>
  <c r="B101" i="100"/>
  <c r="B102" i="100"/>
  <c r="Q100" i="100"/>
  <c r="Q101" i="100"/>
  <c r="O101" i="100" s="1"/>
  <c r="Q102" i="100"/>
  <c r="AE102" i="100"/>
  <c r="AD102" i="100"/>
  <c r="Z102" i="100"/>
  <c r="O102" i="100"/>
  <c r="A102" i="100"/>
  <c r="AE101" i="100"/>
  <c r="AD101" i="100"/>
  <c r="Z101" i="100"/>
  <c r="P101" i="100"/>
  <c r="A101" i="100"/>
  <c r="AG103" i="100"/>
  <c r="AG104" i="100"/>
  <c r="AG105" i="100"/>
  <c r="P105" i="100" s="1"/>
  <c r="I103" i="100"/>
  <c r="I104" i="100"/>
  <c r="I105" i="100"/>
  <c r="H103" i="100"/>
  <c r="H104" i="100"/>
  <c r="H105" i="100"/>
  <c r="G103" i="100"/>
  <c r="G104" i="100"/>
  <c r="G105" i="100"/>
  <c r="F103" i="100"/>
  <c r="F104" i="100"/>
  <c r="F105" i="100"/>
  <c r="C103" i="100"/>
  <c r="C104" i="100"/>
  <c r="C105" i="100"/>
  <c r="B103" i="100"/>
  <c r="B104" i="100"/>
  <c r="B105" i="100"/>
  <c r="Q103" i="100"/>
  <c r="Q104" i="100"/>
  <c r="O104" i="100" s="1"/>
  <c r="Q105" i="100"/>
  <c r="AE105" i="100"/>
  <c r="AD105" i="100"/>
  <c r="Z105" i="100"/>
  <c r="O105" i="100"/>
  <c r="A105" i="100"/>
  <c r="AE104" i="100"/>
  <c r="AD104" i="100"/>
  <c r="Z104" i="100"/>
  <c r="P104" i="100"/>
  <c r="A104" i="100"/>
  <c r="A107" i="100"/>
  <c r="AE107" i="100" l="1"/>
  <c r="AD107" i="100"/>
  <c r="P107" i="100"/>
  <c r="Z107" i="100"/>
  <c r="O107" i="100"/>
  <c r="AG108" i="100"/>
  <c r="AG109" i="100"/>
  <c r="P109" i="100" s="1"/>
  <c r="AG110" i="100"/>
  <c r="I108" i="100"/>
  <c r="I109" i="100"/>
  <c r="I110" i="100"/>
  <c r="H108" i="100"/>
  <c r="H109" i="100"/>
  <c r="H110" i="100"/>
  <c r="G108" i="100"/>
  <c r="G109" i="100"/>
  <c r="G110" i="100"/>
  <c r="F108" i="100"/>
  <c r="F109" i="100"/>
  <c r="F110" i="100"/>
  <c r="C108" i="100"/>
  <c r="C109" i="100"/>
  <c r="C110" i="100"/>
  <c r="B108" i="100"/>
  <c r="B109" i="100"/>
  <c r="B110" i="100"/>
  <c r="Q108" i="100"/>
  <c r="Q109" i="100"/>
  <c r="O109" i="100" s="1"/>
  <c r="Q110" i="100"/>
  <c r="O110" i="100" s="1"/>
  <c r="AE110" i="100"/>
  <c r="AD110" i="100"/>
  <c r="Z110" i="100"/>
  <c r="P110" i="100"/>
  <c r="A110" i="100"/>
  <c r="AE109" i="100"/>
  <c r="AD109" i="100"/>
  <c r="Z109" i="100"/>
  <c r="A109" i="100"/>
  <c r="A82" i="100"/>
  <c r="AD82" i="100" l="1"/>
  <c r="Z82" i="100"/>
  <c r="AE82" i="100"/>
  <c r="O82" i="100"/>
  <c r="P82" i="100"/>
  <c r="A116" i="100"/>
  <c r="AE116" i="100" l="1"/>
  <c r="Z116" i="100"/>
  <c r="AD116" i="100"/>
  <c r="O116" i="100"/>
  <c r="P116" i="100"/>
  <c r="AG117" i="100"/>
  <c r="AG118" i="100"/>
  <c r="AG119" i="100"/>
  <c r="AG120" i="100"/>
  <c r="I117" i="100"/>
  <c r="I118" i="100"/>
  <c r="I119" i="100"/>
  <c r="I120" i="100"/>
  <c r="H117" i="100"/>
  <c r="H118" i="100"/>
  <c r="H119" i="100"/>
  <c r="H120" i="100"/>
  <c r="G117" i="100"/>
  <c r="G118" i="100"/>
  <c r="G119" i="100"/>
  <c r="G120" i="100"/>
  <c r="F117" i="100"/>
  <c r="F118" i="100"/>
  <c r="F119" i="100"/>
  <c r="F120" i="100"/>
  <c r="C117" i="100"/>
  <c r="C118" i="100"/>
  <c r="C119" i="100"/>
  <c r="C120" i="100"/>
  <c r="B117" i="100"/>
  <c r="B118" i="100"/>
  <c r="B119" i="100"/>
  <c r="B120" i="100"/>
  <c r="Q117" i="100"/>
  <c r="Q118" i="100"/>
  <c r="O118" i="100" s="1"/>
  <c r="Q119" i="100"/>
  <c r="Q120" i="100"/>
  <c r="AE120" i="100"/>
  <c r="AD120" i="100"/>
  <c r="Z120" i="100"/>
  <c r="P120" i="100"/>
  <c r="O120" i="100"/>
  <c r="A120" i="100"/>
  <c r="AE119" i="100"/>
  <c r="AD119" i="100"/>
  <c r="Z119" i="100"/>
  <c r="P119" i="100"/>
  <c r="O119" i="100"/>
  <c r="A119" i="100"/>
  <c r="AE118" i="100"/>
  <c r="AD118" i="100"/>
  <c r="Z118" i="100"/>
  <c r="P118" i="100"/>
  <c r="A118" i="100"/>
  <c r="AG121" i="100"/>
  <c r="AG122" i="100"/>
  <c r="AG123" i="100"/>
  <c r="P123" i="100" s="1"/>
  <c r="AG124" i="100"/>
  <c r="P124" i="100" s="1"/>
  <c r="AG125" i="100"/>
  <c r="I121" i="100"/>
  <c r="I122" i="100"/>
  <c r="I123" i="100"/>
  <c r="I124" i="100"/>
  <c r="I125" i="100"/>
  <c r="H121" i="100"/>
  <c r="H122" i="100"/>
  <c r="H123" i="100"/>
  <c r="H124" i="100"/>
  <c r="H125" i="100"/>
  <c r="G121" i="100"/>
  <c r="G122" i="100"/>
  <c r="G123" i="100"/>
  <c r="G124" i="100"/>
  <c r="G125" i="100"/>
  <c r="F121" i="100"/>
  <c r="F122" i="100"/>
  <c r="F123" i="100"/>
  <c r="F124" i="100"/>
  <c r="F125" i="100"/>
  <c r="C121" i="100"/>
  <c r="C122" i="100"/>
  <c r="C123" i="100"/>
  <c r="C124" i="100"/>
  <c r="C125" i="100"/>
  <c r="B121" i="100"/>
  <c r="B122" i="100"/>
  <c r="B123" i="100"/>
  <c r="B124" i="100"/>
  <c r="B125" i="100"/>
  <c r="Q121" i="100"/>
  <c r="Q122" i="100"/>
  <c r="Q123" i="100"/>
  <c r="Q124" i="100"/>
  <c r="O124" i="100" s="1"/>
  <c r="Q125" i="100"/>
  <c r="O125" i="100" s="1"/>
  <c r="AE125" i="100"/>
  <c r="AD125" i="100"/>
  <c r="Z125" i="100"/>
  <c r="P125" i="100"/>
  <c r="A125" i="100"/>
  <c r="AE124" i="100"/>
  <c r="AD124" i="100"/>
  <c r="Z124" i="100"/>
  <c r="A124" i="100"/>
  <c r="AE123" i="100"/>
  <c r="AD123" i="100"/>
  <c r="Z123" i="100"/>
  <c r="O123" i="100"/>
  <c r="A123" i="100"/>
  <c r="AE122" i="100"/>
  <c r="AD122" i="100"/>
  <c r="Z122" i="100"/>
  <c r="P122" i="100"/>
  <c r="O122" i="100"/>
  <c r="A122" i="100"/>
  <c r="AG127" i="100"/>
  <c r="AG128" i="100"/>
  <c r="P128" i="100" s="1"/>
  <c r="AG129" i="100"/>
  <c r="P129" i="100" s="1"/>
  <c r="I127" i="100"/>
  <c r="I128" i="100"/>
  <c r="I129" i="100"/>
  <c r="H127" i="100"/>
  <c r="H128" i="100"/>
  <c r="H129" i="100"/>
  <c r="G127" i="100"/>
  <c r="G128" i="100"/>
  <c r="G129" i="100"/>
  <c r="F127" i="100"/>
  <c r="F128" i="100"/>
  <c r="F129" i="100"/>
  <c r="C127" i="100"/>
  <c r="C128" i="100"/>
  <c r="C129" i="100"/>
  <c r="B127" i="100"/>
  <c r="B128" i="100"/>
  <c r="B129" i="100"/>
  <c r="Q127" i="100"/>
  <c r="Q128" i="100"/>
  <c r="O128" i="100" s="1"/>
  <c r="Q129" i="100"/>
  <c r="O129" i="100" s="1"/>
  <c r="AE129" i="100"/>
  <c r="AD129" i="100"/>
  <c r="Z129" i="100"/>
  <c r="A129" i="100"/>
  <c r="AE128" i="100"/>
  <c r="AD128" i="100"/>
  <c r="Z128" i="100"/>
  <c r="A128" i="100"/>
  <c r="AG130" i="100"/>
  <c r="AG131" i="100"/>
  <c r="P131" i="100" s="1"/>
  <c r="AG132" i="100"/>
  <c r="AG133" i="100"/>
  <c r="AG134" i="100"/>
  <c r="P134" i="100" s="1"/>
  <c r="I130" i="100"/>
  <c r="I131" i="100"/>
  <c r="I132" i="100"/>
  <c r="I133" i="100"/>
  <c r="I134" i="100"/>
  <c r="H130" i="100"/>
  <c r="H131" i="100"/>
  <c r="H132" i="100"/>
  <c r="H133" i="100"/>
  <c r="H134" i="100"/>
  <c r="G130" i="100"/>
  <c r="G131" i="100"/>
  <c r="G132" i="100"/>
  <c r="G133" i="100"/>
  <c r="G134" i="100"/>
  <c r="F130" i="100"/>
  <c r="F131" i="100"/>
  <c r="F132" i="100"/>
  <c r="F133" i="100"/>
  <c r="F134" i="100"/>
  <c r="C130" i="100"/>
  <c r="C131" i="100"/>
  <c r="C132" i="100"/>
  <c r="C133" i="100"/>
  <c r="C134" i="100"/>
  <c r="B130" i="100"/>
  <c r="B131" i="100"/>
  <c r="B132" i="100"/>
  <c r="B133" i="100"/>
  <c r="B134" i="100"/>
  <c r="Q130" i="100"/>
  <c r="Q131" i="100"/>
  <c r="O131" i="100" s="1"/>
  <c r="Q132" i="100"/>
  <c r="O132" i="100" s="1"/>
  <c r="Q133" i="100"/>
  <c r="Q134" i="100"/>
  <c r="AE134" i="100"/>
  <c r="AD134" i="100"/>
  <c r="Z134" i="100"/>
  <c r="O134" i="100"/>
  <c r="A134" i="100"/>
  <c r="AE133" i="100"/>
  <c r="AD133" i="100"/>
  <c r="Z133" i="100"/>
  <c r="P133" i="100"/>
  <c r="O133" i="100"/>
  <c r="A133" i="100"/>
  <c r="AE132" i="100"/>
  <c r="AD132" i="100"/>
  <c r="Z132" i="100"/>
  <c r="P132" i="100"/>
  <c r="A132" i="100"/>
  <c r="AE131" i="100"/>
  <c r="AD131" i="100"/>
  <c r="Z131" i="100"/>
  <c r="A131" i="100"/>
  <c r="A136" i="100"/>
  <c r="AD136" i="100" l="1"/>
  <c r="AE136" i="100"/>
  <c r="Z136" i="100"/>
  <c r="O136" i="100"/>
  <c r="P136" i="100"/>
  <c r="AG137" i="100"/>
  <c r="AG138" i="100"/>
  <c r="AG139" i="100"/>
  <c r="AG140" i="100"/>
  <c r="I137" i="100"/>
  <c r="I138" i="100"/>
  <c r="I139" i="100"/>
  <c r="I140" i="100"/>
  <c r="H137" i="100"/>
  <c r="H138" i="100"/>
  <c r="H139" i="100"/>
  <c r="H140" i="100"/>
  <c r="G137" i="100"/>
  <c r="G138" i="100"/>
  <c r="G139" i="100"/>
  <c r="G140" i="100"/>
  <c r="F137" i="100"/>
  <c r="F138" i="100"/>
  <c r="F139" i="100"/>
  <c r="F140" i="100"/>
  <c r="C137" i="100"/>
  <c r="C138" i="100"/>
  <c r="C139" i="100"/>
  <c r="C140" i="100"/>
  <c r="B137" i="100"/>
  <c r="B138" i="100"/>
  <c r="B139" i="100"/>
  <c r="B140" i="100"/>
  <c r="Q137" i="100"/>
  <c r="Q138" i="100"/>
  <c r="O138" i="100" s="1"/>
  <c r="Q139" i="100"/>
  <c r="Q140" i="100"/>
  <c r="O140" i="100" s="1"/>
  <c r="AE140" i="100"/>
  <c r="AD140" i="100"/>
  <c r="Z140" i="100"/>
  <c r="P140" i="100"/>
  <c r="A140" i="100"/>
  <c r="AE139" i="100"/>
  <c r="AD139" i="100"/>
  <c r="Z139" i="100"/>
  <c r="P139" i="100"/>
  <c r="O139" i="100"/>
  <c r="A139" i="100"/>
  <c r="AE138" i="100"/>
  <c r="AD138" i="100"/>
  <c r="Z138" i="100"/>
  <c r="P138" i="100"/>
  <c r="A138" i="100"/>
  <c r="A143" i="100"/>
  <c r="AE143" i="100" l="1"/>
  <c r="AD143" i="100"/>
  <c r="Z143" i="100"/>
  <c r="P143" i="100"/>
  <c r="O143" i="100"/>
  <c r="AG144" i="100"/>
  <c r="AG145" i="100"/>
  <c r="P145" i="100" s="1"/>
  <c r="AG146" i="100"/>
  <c r="P146" i="100" s="1"/>
  <c r="I144" i="100"/>
  <c r="I145" i="100"/>
  <c r="I146" i="100"/>
  <c r="H144" i="100"/>
  <c r="H145" i="100"/>
  <c r="H146" i="100"/>
  <c r="G144" i="100"/>
  <c r="G145" i="100"/>
  <c r="G146" i="100"/>
  <c r="F144" i="100"/>
  <c r="F145" i="100"/>
  <c r="F146" i="100"/>
  <c r="C144" i="100"/>
  <c r="C145" i="100"/>
  <c r="C146" i="100"/>
  <c r="B144" i="100"/>
  <c r="B145" i="100"/>
  <c r="B146" i="100"/>
  <c r="Q144" i="100"/>
  <c r="Q145" i="100"/>
  <c r="O145" i="100" s="1"/>
  <c r="Q146" i="100"/>
  <c r="AE146" i="100"/>
  <c r="AD146" i="100"/>
  <c r="Z146" i="100"/>
  <c r="O146" i="100"/>
  <c r="A146" i="100"/>
  <c r="AE145" i="100"/>
  <c r="AD145" i="100"/>
  <c r="Z145" i="100"/>
  <c r="A145" i="100"/>
  <c r="A114" i="100"/>
  <c r="AD114" i="100" l="1"/>
  <c r="AE114" i="100"/>
  <c r="Z114" i="100"/>
  <c r="O114" i="100"/>
  <c r="P114" i="100"/>
  <c r="AG150" i="100"/>
  <c r="AG151" i="100"/>
  <c r="P151" i="100" s="1"/>
  <c r="AG152" i="100"/>
  <c r="P152" i="100" s="1"/>
  <c r="I150" i="100"/>
  <c r="I151" i="100"/>
  <c r="I152" i="100"/>
  <c r="H150" i="100"/>
  <c r="H151" i="100"/>
  <c r="H152" i="100"/>
  <c r="G150" i="100"/>
  <c r="G151" i="100"/>
  <c r="G152" i="100"/>
  <c r="F150" i="100"/>
  <c r="F151" i="100"/>
  <c r="F152" i="100"/>
  <c r="C150" i="100"/>
  <c r="C151" i="100"/>
  <c r="C152" i="100"/>
  <c r="B150" i="100"/>
  <c r="B151" i="100"/>
  <c r="B152" i="100"/>
  <c r="Q150" i="100"/>
  <c r="Q151" i="100"/>
  <c r="O151" i="100" s="1"/>
  <c r="Q152" i="100"/>
  <c r="AE152" i="100"/>
  <c r="AD152" i="100"/>
  <c r="Z152" i="100"/>
  <c r="O152" i="100"/>
  <c r="A152" i="100"/>
  <c r="AE151" i="100"/>
  <c r="AD151" i="100"/>
  <c r="Z151" i="100"/>
  <c r="A151" i="100"/>
  <c r="A155" i="100"/>
  <c r="AE155" i="100" l="1"/>
  <c r="Z155" i="100"/>
  <c r="P155" i="100"/>
  <c r="AD155" i="100"/>
  <c r="O155" i="100"/>
  <c r="A157" i="100"/>
  <c r="AD157" i="100" l="1"/>
  <c r="AE157" i="100"/>
  <c r="Z157" i="100"/>
  <c r="O157" i="100"/>
  <c r="P157" i="100"/>
  <c r="A161" i="100"/>
  <c r="AD161" i="100" l="1"/>
  <c r="P161" i="100"/>
  <c r="O161" i="100"/>
  <c r="AE161" i="100"/>
  <c r="Z161" i="100"/>
  <c r="AG167" i="100"/>
  <c r="AG168" i="100"/>
  <c r="P168" i="100" s="1"/>
  <c r="AG169" i="100"/>
  <c r="P169" i="100" s="1"/>
  <c r="I167" i="100"/>
  <c r="I168" i="100"/>
  <c r="I169" i="100"/>
  <c r="H167" i="100"/>
  <c r="H168" i="100"/>
  <c r="H169" i="100"/>
  <c r="G167" i="100"/>
  <c r="G168" i="100"/>
  <c r="G169" i="100"/>
  <c r="F167" i="100"/>
  <c r="F168" i="100"/>
  <c r="F169" i="100"/>
  <c r="C167" i="100"/>
  <c r="C168" i="100"/>
  <c r="C169" i="100"/>
  <c r="B167" i="100"/>
  <c r="B168" i="100"/>
  <c r="B169" i="100"/>
  <c r="Q167" i="100"/>
  <c r="Q168" i="100"/>
  <c r="O168" i="100" s="1"/>
  <c r="Q169" i="100"/>
  <c r="AE169" i="100"/>
  <c r="AD169" i="100"/>
  <c r="Z169" i="100"/>
  <c r="O169" i="100"/>
  <c r="A169" i="100"/>
  <c r="AE168" i="100"/>
  <c r="AD168" i="100"/>
  <c r="Z168" i="100"/>
  <c r="A168" i="100"/>
  <c r="A171" i="100"/>
  <c r="AD171" i="100" l="1"/>
  <c r="AE171" i="100"/>
  <c r="Z171" i="100"/>
  <c r="O171" i="100"/>
  <c r="P171" i="100"/>
  <c r="AG172" i="100"/>
  <c r="AG173" i="100"/>
  <c r="AG174" i="100"/>
  <c r="P174" i="100" s="1"/>
  <c r="AG175" i="100"/>
  <c r="I172" i="100"/>
  <c r="I173" i="100"/>
  <c r="I174" i="100"/>
  <c r="I175" i="100"/>
  <c r="H172" i="100"/>
  <c r="H173" i="100"/>
  <c r="H174" i="100"/>
  <c r="H175" i="100"/>
  <c r="G172" i="100"/>
  <c r="G173" i="100"/>
  <c r="G174" i="100"/>
  <c r="G175" i="100"/>
  <c r="F172" i="100"/>
  <c r="F173" i="100"/>
  <c r="F174" i="100"/>
  <c r="F175" i="100"/>
  <c r="C172" i="100"/>
  <c r="C173" i="100"/>
  <c r="C174" i="100"/>
  <c r="C175" i="100"/>
  <c r="B172" i="100"/>
  <c r="B173" i="100"/>
  <c r="B174" i="100"/>
  <c r="B175" i="100"/>
  <c r="Q172" i="100"/>
  <c r="Q173" i="100"/>
  <c r="Q174" i="100"/>
  <c r="O174" i="100" s="1"/>
  <c r="Q175" i="100"/>
  <c r="AE175" i="100"/>
  <c r="AD175" i="100"/>
  <c r="Z175" i="100"/>
  <c r="P175" i="100"/>
  <c r="O175" i="100"/>
  <c r="A175" i="100"/>
  <c r="AE174" i="100"/>
  <c r="AD174" i="100"/>
  <c r="Z174" i="100"/>
  <c r="A174" i="100"/>
  <c r="AE173" i="100"/>
  <c r="AD173" i="100"/>
  <c r="Z173" i="100"/>
  <c r="P173" i="100"/>
  <c r="O173" i="100"/>
  <c r="A173" i="100"/>
  <c r="A177" i="100"/>
  <c r="AD177" i="100" l="1"/>
  <c r="AE177" i="100"/>
  <c r="Z177" i="100"/>
  <c r="O177" i="100"/>
  <c r="P177" i="100"/>
  <c r="A187" i="100"/>
  <c r="Z187" i="100" l="1"/>
  <c r="AE187" i="100"/>
  <c r="AD187" i="100"/>
  <c r="P187" i="100"/>
  <c r="O187" i="100"/>
  <c r="AG9" i="100"/>
  <c r="AG10" i="100"/>
  <c r="AG11" i="100"/>
  <c r="P11" i="100" s="1"/>
  <c r="I9" i="100"/>
  <c r="I10" i="100"/>
  <c r="I11" i="100"/>
  <c r="H9" i="100"/>
  <c r="H10" i="100"/>
  <c r="H11" i="100"/>
  <c r="G9" i="100"/>
  <c r="G10" i="100"/>
  <c r="G11" i="100"/>
  <c r="F9" i="100"/>
  <c r="F10" i="100"/>
  <c r="F11" i="100"/>
  <c r="C9" i="100"/>
  <c r="C10" i="100"/>
  <c r="C11" i="100"/>
  <c r="B9" i="100"/>
  <c r="B10" i="100"/>
  <c r="B11" i="100"/>
  <c r="Q9" i="100"/>
  <c r="Q10" i="100"/>
  <c r="O10" i="100" s="1"/>
  <c r="Q11" i="100"/>
  <c r="AE11" i="100"/>
  <c r="AD11" i="100"/>
  <c r="Z11" i="100"/>
  <c r="O11" i="100"/>
  <c r="A11" i="100"/>
  <c r="AE10" i="100"/>
  <c r="AD10" i="100"/>
  <c r="Z10" i="100"/>
  <c r="P10" i="100"/>
  <c r="A10" i="100"/>
  <c r="AG12" i="100"/>
  <c r="AG13" i="100"/>
  <c r="AG14" i="100"/>
  <c r="AG15" i="100"/>
  <c r="I12" i="100"/>
  <c r="I13" i="100"/>
  <c r="I14" i="100"/>
  <c r="I15" i="100"/>
  <c r="H12" i="100"/>
  <c r="H13" i="100"/>
  <c r="H14" i="100"/>
  <c r="H15" i="100"/>
  <c r="G12" i="100"/>
  <c r="G13" i="100"/>
  <c r="G14" i="100"/>
  <c r="G15" i="100"/>
  <c r="F12" i="100"/>
  <c r="F13" i="100"/>
  <c r="F14" i="100"/>
  <c r="F15" i="100"/>
  <c r="C12" i="100"/>
  <c r="C13" i="100"/>
  <c r="C14" i="100"/>
  <c r="C15" i="100"/>
  <c r="B12" i="100"/>
  <c r="B13" i="100"/>
  <c r="B14" i="100"/>
  <c r="B15" i="100"/>
  <c r="Q12" i="100"/>
  <c r="Q13" i="100"/>
  <c r="Q14" i="100"/>
  <c r="O14" i="100" s="1"/>
  <c r="Q15" i="100"/>
  <c r="AE15" i="100"/>
  <c r="AD15" i="100"/>
  <c r="Z15" i="100"/>
  <c r="P15" i="100"/>
  <c r="O15" i="100"/>
  <c r="A15" i="100"/>
  <c r="AE14" i="100"/>
  <c r="AD14" i="100"/>
  <c r="Z14" i="100"/>
  <c r="P14" i="100"/>
  <c r="A14" i="100"/>
  <c r="AE13" i="100"/>
  <c r="AD13" i="100"/>
  <c r="Z13" i="100"/>
  <c r="P13" i="100"/>
  <c r="O13" i="100"/>
  <c r="A13" i="100"/>
  <c r="AG16" i="100"/>
  <c r="AG17" i="100"/>
  <c r="P17" i="100" s="1"/>
  <c r="AG18" i="100"/>
  <c r="I16" i="100"/>
  <c r="I17" i="100"/>
  <c r="I18" i="100"/>
  <c r="H16" i="100"/>
  <c r="H17" i="100"/>
  <c r="H18" i="100"/>
  <c r="G16" i="100"/>
  <c r="G17" i="100"/>
  <c r="G18" i="100"/>
  <c r="F16" i="100"/>
  <c r="F17" i="100"/>
  <c r="F18" i="100"/>
  <c r="C16" i="100"/>
  <c r="C17" i="100"/>
  <c r="C18" i="100"/>
  <c r="B16" i="100"/>
  <c r="B17" i="100"/>
  <c r="B18" i="100"/>
  <c r="Q16" i="100"/>
  <c r="Q17" i="100"/>
  <c r="Q18" i="100"/>
  <c r="O18" i="100" s="1"/>
  <c r="AE18" i="100"/>
  <c r="AD18" i="100"/>
  <c r="Z18" i="100"/>
  <c r="P18" i="100"/>
  <c r="A18" i="100"/>
  <c r="AE17" i="100"/>
  <c r="AD17" i="100"/>
  <c r="Z17" i="100"/>
  <c r="O17" i="100"/>
  <c r="A17" i="100"/>
  <c r="AG19" i="100"/>
  <c r="AG20" i="100"/>
  <c r="P20" i="100" s="1"/>
  <c r="AG21" i="100"/>
  <c r="I19" i="100"/>
  <c r="I20" i="100"/>
  <c r="I21" i="100"/>
  <c r="H19" i="100"/>
  <c r="H20" i="100"/>
  <c r="H21" i="100"/>
  <c r="G19" i="100"/>
  <c r="G20" i="100"/>
  <c r="G21" i="100"/>
  <c r="F19" i="100"/>
  <c r="F20" i="100"/>
  <c r="F21" i="100"/>
  <c r="C19" i="100"/>
  <c r="C20" i="100"/>
  <c r="C21" i="100"/>
  <c r="B19" i="100"/>
  <c r="B20" i="100"/>
  <c r="B21" i="100"/>
  <c r="Q19" i="100"/>
  <c r="Q20" i="100"/>
  <c r="O20" i="100" s="1"/>
  <c r="Q21" i="100"/>
  <c r="O21" i="100" s="1"/>
  <c r="AE21" i="100"/>
  <c r="AD21" i="100"/>
  <c r="Z21" i="100"/>
  <c r="P21" i="100"/>
  <c r="A21" i="100"/>
  <c r="AE20" i="100"/>
  <c r="AD20" i="100"/>
  <c r="Z20" i="100"/>
  <c r="A20" i="100"/>
  <c r="AG22" i="100"/>
  <c r="AG23" i="100"/>
  <c r="AG24" i="100"/>
  <c r="I22" i="100"/>
  <c r="I23" i="100"/>
  <c r="I24" i="100"/>
  <c r="H22" i="100"/>
  <c r="H23" i="100"/>
  <c r="H24" i="100"/>
  <c r="G22" i="100"/>
  <c r="G23" i="100"/>
  <c r="G24" i="100"/>
  <c r="F22" i="100"/>
  <c r="F23" i="100"/>
  <c r="F24" i="100"/>
  <c r="C22" i="100"/>
  <c r="C23" i="100"/>
  <c r="C24" i="100"/>
  <c r="B22" i="100"/>
  <c r="B23" i="100"/>
  <c r="B24" i="100"/>
  <c r="Q22" i="100"/>
  <c r="Q23" i="100"/>
  <c r="Q24" i="100"/>
  <c r="AE24" i="100"/>
  <c r="AD24" i="100"/>
  <c r="Z24" i="100"/>
  <c r="P24" i="100"/>
  <c r="O24" i="100"/>
  <c r="A24" i="100"/>
  <c r="AE23" i="100"/>
  <c r="AD23" i="100"/>
  <c r="Z23" i="100"/>
  <c r="P23" i="100"/>
  <c r="O23" i="100"/>
  <c r="A23" i="100"/>
  <c r="AG5" i="100"/>
  <c r="AG6" i="100"/>
  <c r="P6" i="100" s="1"/>
  <c r="AG7" i="100"/>
  <c r="P7" i="100" s="1"/>
  <c r="AG8" i="100"/>
  <c r="I5" i="100"/>
  <c r="I6" i="100"/>
  <c r="I7" i="100"/>
  <c r="I8" i="100"/>
  <c r="H5" i="100"/>
  <c r="H6" i="100"/>
  <c r="H7" i="100"/>
  <c r="H8" i="100"/>
  <c r="G5" i="100"/>
  <c r="G6" i="100"/>
  <c r="G7" i="100"/>
  <c r="G8" i="100"/>
  <c r="F5" i="100"/>
  <c r="F6" i="100"/>
  <c r="F7" i="100"/>
  <c r="F8" i="100"/>
  <c r="C5" i="100"/>
  <c r="C6" i="100"/>
  <c r="C7" i="100"/>
  <c r="C8" i="100"/>
  <c r="B5" i="100"/>
  <c r="B6" i="100"/>
  <c r="B7" i="100"/>
  <c r="B8" i="100"/>
  <c r="Q5" i="100"/>
  <c r="Q6" i="100"/>
  <c r="Q7" i="100"/>
  <c r="O7" i="100" s="1"/>
  <c r="Q8" i="100"/>
  <c r="O8" i="100" s="1"/>
  <c r="AE8" i="100"/>
  <c r="AD8" i="100"/>
  <c r="Z8" i="100"/>
  <c r="P8" i="100"/>
  <c r="A8" i="100"/>
  <c r="AE7" i="100"/>
  <c r="AD7" i="100"/>
  <c r="Z7" i="100"/>
  <c r="A7" i="100"/>
  <c r="AE6" i="100"/>
  <c r="AD6" i="100"/>
  <c r="Z6" i="100"/>
  <c r="O6" i="100"/>
  <c r="A6" i="100"/>
  <c r="A61" i="100"/>
  <c r="A60" i="100"/>
  <c r="A58" i="100"/>
  <c r="A57" i="100"/>
  <c r="A53" i="100"/>
  <c r="A51" i="100"/>
  <c r="A50" i="100"/>
  <c r="A48" i="100"/>
  <c r="A46" i="100"/>
  <c r="A44" i="100"/>
  <c r="A40" i="100"/>
  <c r="A36" i="100"/>
  <c r="A32" i="100"/>
  <c r="A31" i="100"/>
  <c r="A78" i="100"/>
  <c r="A74" i="100"/>
  <c r="A108" i="100"/>
  <c r="A106" i="100"/>
  <c r="A103" i="100"/>
  <c r="A100" i="100"/>
  <c r="A99" i="100"/>
  <c r="A98" i="100"/>
  <c r="A95" i="100"/>
  <c r="A92" i="100"/>
  <c r="A88" i="100"/>
  <c r="A83" i="100"/>
  <c r="A144" i="100"/>
  <c r="A142" i="100"/>
  <c r="A141" i="100"/>
  <c r="A137" i="100"/>
  <c r="A135" i="100"/>
  <c r="A130" i="100"/>
  <c r="A127" i="100"/>
  <c r="A126" i="100"/>
  <c r="A121" i="100"/>
  <c r="A117" i="100"/>
  <c r="A115" i="100"/>
  <c r="A179" i="100"/>
  <c r="A178" i="100"/>
  <c r="A176" i="100"/>
  <c r="A172" i="100"/>
  <c r="A170" i="100"/>
  <c r="A167" i="100"/>
  <c r="A166" i="100"/>
  <c r="A165" i="100"/>
  <c r="A164" i="100"/>
  <c r="A163" i="100"/>
  <c r="A162" i="100"/>
  <c r="A160" i="100"/>
  <c r="A159" i="100"/>
  <c r="A158" i="100"/>
  <c r="A156" i="100"/>
  <c r="A154" i="100"/>
  <c r="A153" i="100"/>
  <c r="A150" i="100"/>
  <c r="A186" i="100"/>
  <c r="A25" i="100"/>
  <c r="A22" i="100"/>
  <c r="A19" i="100"/>
  <c r="A16" i="100"/>
  <c r="A12" i="100"/>
  <c r="A9" i="100"/>
  <c r="B27" i="100"/>
  <c r="B63" i="100"/>
  <c r="B68" i="100"/>
  <c r="B71" i="100"/>
  <c r="B80" i="100"/>
  <c r="B112" i="100"/>
  <c r="B148" i="100"/>
  <c r="B181" i="100"/>
  <c r="B184" i="100"/>
  <c r="A185" i="100"/>
  <c r="A182" i="100"/>
  <c r="A149" i="100"/>
  <c r="A113" i="100"/>
  <c r="A81" i="100"/>
  <c r="A72" i="100"/>
  <c r="A69" i="100"/>
  <c r="A64" i="100"/>
  <c r="A28" i="100"/>
  <c r="A5" i="100" l="1"/>
  <c r="O5" i="100" l="1"/>
  <c r="P5" i="100" l="1"/>
  <c r="AD9" i="100" l="1"/>
  <c r="AE9" i="100"/>
  <c r="Z9" i="100"/>
  <c r="O9" i="100"/>
  <c r="P9" i="100"/>
  <c r="Z5" i="100"/>
  <c r="AD12" i="100" l="1"/>
  <c r="AE12" i="100"/>
  <c r="Z12" i="100"/>
  <c r="O12" i="100"/>
  <c r="P12" i="100"/>
  <c r="AD5" i="100"/>
  <c r="AE5" i="100"/>
  <c r="AD16" i="100" l="1"/>
  <c r="AE16" i="100"/>
  <c r="Z16" i="100"/>
  <c r="O16" i="100"/>
  <c r="P16" i="100"/>
  <c r="AD19" i="100" l="1"/>
  <c r="AE19" i="100"/>
  <c r="Z19" i="100"/>
  <c r="O19" i="100"/>
  <c r="P19" i="100"/>
  <c r="AD28" i="100"/>
  <c r="Z28" i="100"/>
  <c r="AE28" i="100"/>
  <c r="O28" i="100"/>
  <c r="P28" i="100"/>
  <c r="AD22" i="100" l="1"/>
  <c r="AE22" i="100"/>
  <c r="Z22" i="100"/>
  <c r="AD25" i="100"/>
  <c r="AE25" i="100"/>
  <c r="Z25" i="100"/>
  <c r="AD31" i="100"/>
  <c r="AE31" i="100"/>
  <c r="Z31" i="100"/>
  <c r="O22" i="100"/>
  <c r="O25" i="100"/>
  <c r="O31" i="100"/>
  <c r="P22" i="100"/>
  <c r="P25" i="100"/>
  <c r="P31" i="100"/>
  <c r="Z64" i="100"/>
  <c r="AE64" i="100"/>
  <c r="AD64" i="100"/>
  <c r="O64" i="100"/>
  <c r="P64" i="100"/>
  <c r="AD32" i="100" l="1"/>
  <c r="Z32" i="100"/>
  <c r="AE32" i="100"/>
  <c r="O32" i="100"/>
  <c r="P32" i="100"/>
  <c r="AD69" i="100"/>
  <c r="AE69" i="100"/>
  <c r="Z69" i="100"/>
  <c r="O69" i="100"/>
  <c r="P69" i="100"/>
  <c r="AD36" i="100" l="1"/>
  <c r="Z36" i="100"/>
  <c r="AE36" i="100"/>
  <c r="O36" i="100"/>
  <c r="P36" i="100"/>
  <c r="AE72" i="100"/>
  <c r="Z72" i="100"/>
  <c r="AD72" i="100"/>
  <c r="O72" i="100"/>
  <c r="P72" i="100"/>
  <c r="AE74" i="100" l="1"/>
  <c r="Z74" i="100"/>
  <c r="AD74" i="100"/>
  <c r="AD40" i="100"/>
  <c r="AE40" i="100"/>
  <c r="Z40" i="100"/>
  <c r="O74" i="100"/>
  <c r="O40" i="100"/>
  <c r="P74" i="100"/>
  <c r="P40" i="100"/>
  <c r="AD81" i="100"/>
  <c r="AE81" i="100"/>
  <c r="Z81" i="100"/>
  <c r="O81" i="100"/>
  <c r="P81" i="100"/>
  <c r="AD44" i="100" l="1"/>
  <c r="AE44" i="100"/>
  <c r="Z44" i="100"/>
  <c r="AD78" i="100"/>
  <c r="AE78" i="100"/>
  <c r="Z78" i="100"/>
  <c r="AD83" i="100"/>
  <c r="AE83" i="100"/>
  <c r="Z83" i="100"/>
  <c r="O44" i="100"/>
  <c r="O78" i="100"/>
  <c r="O83" i="100"/>
  <c r="P44" i="100"/>
  <c r="P78" i="100"/>
  <c r="P83" i="100"/>
  <c r="Z113" i="100"/>
  <c r="AE113" i="100"/>
  <c r="AD113" i="100"/>
  <c r="O113" i="100"/>
  <c r="P113" i="100"/>
  <c r="AE115" i="100" l="1"/>
  <c r="Z115" i="100"/>
  <c r="AD115" i="100"/>
  <c r="AD46" i="100"/>
  <c r="AE46" i="100"/>
  <c r="Z46" i="100"/>
  <c r="AD88" i="100"/>
  <c r="AE88" i="100"/>
  <c r="Z88" i="100"/>
  <c r="O115" i="100"/>
  <c r="O46" i="100"/>
  <c r="O88" i="100"/>
  <c r="P115" i="100"/>
  <c r="P46" i="100"/>
  <c r="P88" i="100"/>
  <c r="AD149" i="100"/>
  <c r="Z149" i="100"/>
  <c r="AE149" i="100"/>
  <c r="O149" i="100"/>
  <c r="P149" i="100"/>
  <c r="AE150" i="100" l="1"/>
  <c r="Z150" i="100"/>
  <c r="AD150" i="100"/>
  <c r="AD117" i="100"/>
  <c r="AE117" i="100"/>
  <c r="Z117" i="100"/>
  <c r="AD92" i="100"/>
  <c r="AE92" i="100"/>
  <c r="Z92" i="100"/>
  <c r="AD48" i="100"/>
  <c r="Z48" i="100"/>
  <c r="AE48" i="100"/>
  <c r="O150" i="100"/>
  <c r="O117" i="100"/>
  <c r="O92" i="100"/>
  <c r="O48" i="100"/>
  <c r="P150" i="100"/>
  <c r="P117" i="100"/>
  <c r="P92" i="100"/>
  <c r="P48" i="100"/>
  <c r="Z182" i="100"/>
  <c r="AE182" i="100"/>
  <c r="AD182" i="100"/>
  <c r="O182" i="100"/>
  <c r="P182" i="100"/>
  <c r="AD50" i="100" l="1"/>
  <c r="Z50" i="100"/>
  <c r="AE50" i="100"/>
  <c r="AD95" i="100"/>
  <c r="AE95" i="100"/>
  <c r="Z95" i="100"/>
  <c r="AD121" i="100"/>
  <c r="Z121" i="100"/>
  <c r="AE121" i="100"/>
  <c r="Z153" i="100"/>
  <c r="AE153" i="100"/>
  <c r="AD153" i="100"/>
  <c r="O50" i="100"/>
  <c r="O95" i="100"/>
  <c r="O121" i="100"/>
  <c r="O153" i="100"/>
  <c r="P50" i="100"/>
  <c r="P95" i="100"/>
  <c r="P121" i="100"/>
  <c r="P153" i="100"/>
  <c r="AD185" i="100"/>
  <c r="AE185" i="100"/>
  <c r="Z185" i="100"/>
  <c r="O185" i="100"/>
  <c r="P185" i="100"/>
  <c r="AD51" i="100" l="1"/>
  <c r="Z51" i="100"/>
  <c r="AE51" i="100"/>
  <c r="AD126" i="100"/>
  <c r="AE126" i="100"/>
  <c r="Z126" i="100"/>
  <c r="AE154" i="100"/>
  <c r="Z154" i="100"/>
  <c r="AD154" i="100"/>
  <c r="AD186" i="100"/>
  <c r="Z186" i="100"/>
  <c r="AE186" i="100"/>
  <c r="AD98" i="100"/>
  <c r="AE98" i="100"/>
  <c r="Z98" i="100"/>
  <c r="O51" i="100"/>
  <c r="O126" i="100"/>
  <c r="O154" i="100"/>
  <c r="O186" i="100"/>
  <c r="O98" i="100"/>
  <c r="P51" i="100"/>
  <c r="P126" i="100"/>
  <c r="P154" i="100"/>
  <c r="P186" i="100"/>
  <c r="P98" i="100"/>
  <c r="AD99" i="100" l="1"/>
  <c r="AE99" i="100"/>
  <c r="Z99" i="100"/>
  <c r="AE156" i="100"/>
  <c r="Z156" i="100"/>
  <c r="AD156" i="100"/>
  <c r="Z127" i="100"/>
  <c r="AE127" i="100"/>
  <c r="AD127" i="100"/>
  <c r="AD53" i="100"/>
  <c r="Z53" i="100"/>
  <c r="AE53" i="100"/>
  <c r="O99" i="100"/>
  <c r="O156" i="100"/>
  <c r="O127" i="100"/>
  <c r="O53" i="100"/>
  <c r="P99" i="100"/>
  <c r="P156" i="100"/>
  <c r="P127" i="100"/>
  <c r="P53" i="100"/>
  <c r="AD57" i="100" l="1"/>
  <c r="Z57" i="100"/>
  <c r="AE57" i="100"/>
  <c r="AD130" i="100"/>
  <c r="AE130" i="100"/>
  <c r="Z130" i="100"/>
  <c r="Z158" i="100"/>
  <c r="AE158" i="100"/>
  <c r="AD158" i="100"/>
  <c r="AD100" i="100"/>
  <c r="AE100" i="100"/>
  <c r="Z100" i="100"/>
  <c r="O57" i="100"/>
  <c r="O130" i="100"/>
  <c r="O158" i="100"/>
  <c r="O100" i="100"/>
  <c r="P57" i="100"/>
  <c r="P130" i="100"/>
  <c r="P158" i="100"/>
  <c r="P100" i="100"/>
  <c r="AD135" i="100" l="1"/>
  <c r="AE135" i="100"/>
  <c r="Z135" i="100"/>
  <c r="AD58" i="100"/>
  <c r="Z58" i="100"/>
  <c r="AE58" i="100"/>
  <c r="AD103" i="100"/>
  <c r="AE103" i="100"/>
  <c r="Z103" i="100"/>
  <c r="Z159" i="100"/>
  <c r="AE159" i="100"/>
  <c r="AD159" i="100"/>
  <c r="O135" i="100"/>
  <c r="O58" i="100"/>
  <c r="O103" i="100"/>
  <c r="O159" i="100"/>
  <c r="P135" i="100"/>
  <c r="P58" i="100"/>
  <c r="P103" i="100"/>
  <c r="P159" i="100"/>
  <c r="AD60" i="100" l="1"/>
  <c r="Z60" i="100"/>
  <c r="AE60" i="100"/>
  <c r="AD137" i="100"/>
  <c r="AE137" i="100"/>
  <c r="Z137" i="100"/>
  <c r="AD106" i="100"/>
  <c r="AE106" i="100"/>
  <c r="Z106" i="100"/>
  <c r="AE160" i="100"/>
  <c r="Z160" i="100"/>
  <c r="AD160" i="100"/>
  <c r="O60" i="100"/>
  <c r="O137" i="100"/>
  <c r="O106" i="100"/>
  <c r="O160" i="100"/>
  <c r="P60" i="100"/>
  <c r="P137" i="100"/>
  <c r="P106" i="100"/>
  <c r="P160" i="100"/>
  <c r="AD61" i="100" l="1"/>
  <c r="Z61" i="100"/>
  <c r="AE61" i="100"/>
  <c r="Z162" i="100"/>
  <c r="AE162" i="100"/>
  <c r="AD162" i="100"/>
  <c r="AD108" i="100"/>
  <c r="AE108" i="100"/>
  <c r="Z108" i="100"/>
  <c r="AD141" i="100"/>
  <c r="AE141" i="100"/>
  <c r="Z141" i="100"/>
  <c r="O61" i="100"/>
  <c r="O162" i="100"/>
  <c r="O108" i="100"/>
  <c r="O141" i="100"/>
  <c r="P61" i="100"/>
  <c r="P162" i="100"/>
  <c r="P108" i="100"/>
  <c r="P141" i="100"/>
  <c r="AE163" i="100" l="1"/>
  <c r="Z163" i="100"/>
  <c r="AD163" i="100"/>
  <c r="AD142" i="100"/>
  <c r="AE142" i="100"/>
  <c r="Z142" i="100"/>
  <c r="O163" i="100"/>
  <c r="O142" i="100"/>
  <c r="P163" i="100"/>
  <c r="P142" i="100"/>
  <c r="AD144" i="100" l="1"/>
  <c r="AE144" i="100"/>
  <c r="Z144" i="100"/>
  <c r="AD164" i="100"/>
  <c r="AE164" i="100"/>
  <c r="Z164" i="100"/>
  <c r="O144" i="100"/>
  <c r="O164" i="100"/>
  <c r="P144" i="100"/>
  <c r="P164" i="100"/>
  <c r="AD165" i="100" l="1"/>
  <c r="AE165" i="100"/>
  <c r="Z165" i="100"/>
  <c r="O165" i="100"/>
  <c r="P165" i="100"/>
  <c r="AD166" i="100" l="1"/>
  <c r="AE166" i="100"/>
  <c r="Z166" i="100"/>
  <c r="O166" i="100"/>
  <c r="P166" i="100"/>
  <c r="AD167" i="100" l="1"/>
  <c r="AE167" i="100"/>
  <c r="Z167" i="100"/>
  <c r="O167" i="100"/>
  <c r="P167" i="100"/>
  <c r="AD170" i="100" l="1"/>
  <c r="AE170" i="100"/>
  <c r="Z170" i="100"/>
  <c r="O170" i="100"/>
  <c r="P170" i="100"/>
  <c r="AD172" i="100" l="1"/>
  <c r="AE172" i="100"/>
  <c r="Z172" i="100"/>
  <c r="O172" i="100"/>
  <c r="P172" i="100"/>
  <c r="AD176" i="100" l="1"/>
  <c r="AE176" i="100"/>
  <c r="Z176" i="100"/>
  <c r="O176" i="100"/>
  <c r="P176" i="100"/>
  <c r="AD178" i="100" l="1"/>
  <c r="AE178" i="100"/>
  <c r="Z178" i="100"/>
  <c r="O178" i="100"/>
  <c r="P178" i="100"/>
  <c r="AD179" i="100" l="1"/>
  <c r="AE179" i="100"/>
  <c r="Z179" i="100"/>
  <c r="O179" i="100"/>
  <c r="P179" i="100"/>
</calcChain>
</file>

<file path=xl/sharedStrings.xml><?xml version="1.0" encoding="utf-8"?>
<sst xmlns="http://schemas.openxmlformats.org/spreadsheetml/2006/main" count="1390" uniqueCount="157">
  <si>
    <t>Wine</t>
  </si>
  <si>
    <t>Vintage</t>
  </si>
  <si>
    <t>Brand</t>
  </si>
  <si>
    <t>Cases/
Pallet</t>
  </si>
  <si>
    <t>Case Pack</t>
  </si>
  <si>
    <t>Case Weight (lbs.)</t>
  </si>
  <si>
    <t>Case Cube (Ft)</t>
  </si>
  <si>
    <t>Pallet Tie</t>
  </si>
  <si>
    <t>Pallet Hi</t>
  </si>
  <si>
    <t>UPC/EAN
code</t>
  </si>
  <si>
    <t>Pallet Weight (lbs.)</t>
  </si>
  <si>
    <t>Case Length (in.)</t>
  </si>
  <si>
    <t>Case Width   (in.)</t>
  </si>
  <si>
    <t>Case Height (in.)</t>
  </si>
  <si>
    <t>Pallet Height (in.)</t>
  </si>
  <si>
    <t>Case SCC
(Actual)</t>
  </si>
  <si>
    <t>Size Description</t>
  </si>
  <si>
    <t>Gift Box</t>
  </si>
  <si>
    <t>Varietal</t>
  </si>
  <si>
    <t>Appellation</t>
  </si>
  <si>
    <t>Color</t>
  </si>
  <si>
    <t>Product Specification</t>
  </si>
  <si>
    <t/>
  </si>
  <si>
    <t>Bottle Vol.</t>
  </si>
  <si>
    <t>Closure</t>
  </si>
  <si>
    <t>Organic</t>
  </si>
  <si>
    <t>Sustainable</t>
  </si>
  <si>
    <t>Vegan</t>
  </si>
  <si>
    <t>Alc.</t>
  </si>
  <si>
    <t>UPC/
EAN</t>
  </si>
  <si>
    <t>Btl. Width &amp; Depth (in.)</t>
  </si>
  <si>
    <t>Btl. Height (in.)</t>
  </si>
  <si>
    <t>Btl. Weight (lbs.)</t>
  </si>
  <si>
    <t>Attems</t>
  </si>
  <si>
    <t>No</t>
  </si>
  <si>
    <t>Casisano</t>
  </si>
  <si>
    <t>Yes</t>
  </si>
  <si>
    <t>Ch. du Glana</t>
  </si>
  <si>
    <t>Ch. Montelena</t>
  </si>
  <si>
    <t>Ch. Margaux</t>
  </si>
  <si>
    <t>Champagne Ayala</t>
  </si>
  <si>
    <t>Champagne Bollinger</t>
  </si>
  <si>
    <t>Christian Moueix</t>
  </si>
  <si>
    <t>Chateau de Nalys</t>
  </si>
  <si>
    <t>Disznoko</t>
  </si>
  <si>
    <t>Dog Point Vineyard</t>
  </si>
  <si>
    <t>Domaine Chanson</t>
  </si>
  <si>
    <t>Domaine des Baumard</t>
  </si>
  <si>
    <t>Domaine Talmard</t>
  </si>
  <si>
    <t>E. Guigal</t>
  </si>
  <si>
    <t>Errazuriz</t>
  </si>
  <si>
    <t>Ferrer Bobet</t>
  </si>
  <si>
    <t>Finca Decero</t>
  </si>
  <si>
    <t>Ginraw</t>
  </si>
  <si>
    <t>Heartland</t>
  </si>
  <si>
    <t>Langlois-Chateau</t>
  </si>
  <si>
    <t>Le Macchiole</t>
  </si>
  <si>
    <t>Luce</t>
  </si>
  <si>
    <t>Masciarelli</t>
  </si>
  <si>
    <t>Milhade</t>
  </si>
  <si>
    <t>Mitolo</t>
  </si>
  <si>
    <t>Ornellaia</t>
  </si>
  <si>
    <t>Paternoster</t>
  </si>
  <si>
    <t>Petrolo</t>
  </si>
  <si>
    <t>Ponzi</t>
  </si>
  <si>
    <t>Quinta do Noval</t>
  </si>
  <si>
    <t>Rotem and Mounir Saouma</t>
  </si>
  <si>
    <t>Sandrone</t>
  </si>
  <si>
    <t>Telmo Rodriguez</t>
  </si>
  <si>
    <t>Tesseron Cognac</t>
  </si>
  <si>
    <t>Tommasi</t>
  </si>
  <si>
    <t>Lucien Le Moine</t>
  </si>
  <si>
    <t>BEAUNE WHITE GRAND CRU</t>
  </si>
  <si>
    <t>6x750ml C</t>
  </si>
  <si>
    <t>3x1.5L C</t>
  </si>
  <si>
    <t>CORK</t>
  </si>
  <si>
    <t>PINOT NOIR</t>
  </si>
  <si>
    <t>Red</t>
  </si>
  <si>
    <t>Nuits-St.-Georges 1er Cru Les Vaucrains</t>
  </si>
  <si>
    <t>Vosne-Romanee 1er Cru Les Suchots</t>
  </si>
  <si>
    <t>Vosne-Romanee 1er Cru Les Petis Monts</t>
  </si>
  <si>
    <t>Vosne-Romanee Aux Reas</t>
  </si>
  <si>
    <t>Hospices de Beaune Pommard Billardet</t>
  </si>
  <si>
    <t>NUITS-SAINT-GEORGES</t>
  </si>
  <si>
    <t>VOSNE-ROMANEE</t>
  </si>
  <si>
    <t>POMMARD</t>
  </si>
  <si>
    <t>2011</t>
  </si>
  <si>
    <t>2013</t>
  </si>
  <si>
    <t>2010</t>
  </si>
  <si>
    <t>2009</t>
  </si>
  <si>
    <t>Hospices de Beaune Volnay 1er Cru General Muteau</t>
  </si>
  <si>
    <t>NO UPC</t>
  </si>
  <si>
    <t>Nuits-St.-Georges 1er Cru Les Saint Georges</t>
  </si>
  <si>
    <t>2014</t>
  </si>
  <si>
    <t>VOLNAY 1ER</t>
  </si>
  <si>
    <t>Chambolle-Musigny 1er Cru Les Groseilles</t>
  </si>
  <si>
    <t>Chambolle-Musigny 1er Cru Les Feusselottes</t>
  </si>
  <si>
    <t>Chambolle-Musigny 1er Cru Les Baudes</t>
  </si>
  <si>
    <t>Chambolle-Musigny 1er Cru Les Chabiots</t>
  </si>
  <si>
    <t>Morey-Saint-Denis 1er Cru  Clos des Ormes</t>
  </si>
  <si>
    <t>Morey-Saint-Denis 1er Cru Les Genavrieres</t>
  </si>
  <si>
    <t>Gevrey-Chambertin 1er Cru Estournelles-St-Jacques</t>
  </si>
  <si>
    <t>Gevrey-Chambertin 1er Cru Cazetiers</t>
  </si>
  <si>
    <t>Gevrey-Chambertin 1er Cru Les Corbeaux</t>
  </si>
  <si>
    <t>Gevrey-Chambertin 1er Cru Aux Combottes</t>
  </si>
  <si>
    <t>Gevrey-Chambertin 1er Cru Combe Au Moine</t>
  </si>
  <si>
    <t>2012</t>
  </si>
  <si>
    <t>2015</t>
  </si>
  <si>
    <t>2006</t>
  </si>
  <si>
    <t>CHAMBOLLE-MUSIGNY</t>
  </si>
  <si>
    <t>MOREY-SAINT-DENIS</t>
  </si>
  <si>
    <t>GEVREY-CHAMBERTIN</t>
  </si>
  <si>
    <t>Chambolle-Musigny 1er Cru Les Charmes</t>
  </si>
  <si>
    <t>Chambertin-Clos de Beze Grand Cru</t>
  </si>
  <si>
    <t>Clos de la Roche Grand Cru</t>
  </si>
  <si>
    <t>2002</t>
  </si>
  <si>
    <t>CHAMBERTIN-CLOS BEZE</t>
  </si>
  <si>
    <t>CLOS DE LA ROCHE</t>
  </si>
  <si>
    <t>Latricieres-Chambertin Grand Cru</t>
  </si>
  <si>
    <t>CHARMES-CHAMBERTIN</t>
  </si>
  <si>
    <t>Bonnes-Mares Grand Cru</t>
  </si>
  <si>
    <t>BONNES-MARES</t>
  </si>
  <si>
    <t>Grands Echezeaux Grand Cru</t>
  </si>
  <si>
    <t>GRANDS ECHEZEAUX</t>
  </si>
  <si>
    <t>Richebourg Grand Cru</t>
  </si>
  <si>
    <t>RICHEBOURG</t>
  </si>
  <si>
    <t>Volnay 1er Cru Chanlin</t>
  </si>
  <si>
    <t>VOLNAY</t>
  </si>
  <si>
    <t>Pommard 1er Cru Clos de Verger</t>
  </si>
  <si>
    <t>Volnay 1er Cru Les Caillerets</t>
  </si>
  <si>
    <t>Corton Bressandes Grand Cru</t>
  </si>
  <si>
    <t xml:space="preserve">Beaune 1er Cru Clos des Mouches </t>
  </si>
  <si>
    <t>CORTON BRESSANDES</t>
  </si>
  <si>
    <t>BEAUNE 1ER</t>
  </si>
  <si>
    <t>CHARDONNAY</t>
  </si>
  <si>
    <t>Chablis Grand Cru Les Preuses</t>
  </si>
  <si>
    <t>Corton Perrieres Grand Cru</t>
  </si>
  <si>
    <t>White</t>
  </si>
  <si>
    <t>CHABLIS</t>
  </si>
  <si>
    <t>Meursault 1er Cru Perrieres</t>
  </si>
  <si>
    <t>Meursault 1er Cru Les Boucheres</t>
  </si>
  <si>
    <t>Beaune 1er Cru Les Reversees</t>
  </si>
  <si>
    <t>Beaune 1er Cru les Longes</t>
  </si>
  <si>
    <t>2008</t>
  </si>
  <si>
    <t>MEURSAULT</t>
  </si>
  <si>
    <t>MEURSAULT 1ER</t>
  </si>
  <si>
    <t>BEAUNE</t>
  </si>
  <si>
    <t>Corton Les Fietres Blanc</t>
  </si>
  <si>
    <t>CORTON BLANC</t>
  </si>
  <si>
    <t>Chassagne-Montrachet 1er Cru En Remilly</t>
  </si>
  <si>
    <t>Puligny-Montrachet 1er Cru Champ Canet</t>
  </si>
  <si>
    <t>Meursault 1er Cru Charmes</t>
  </si>
  <si>
    <t>Meursault 1er Cru Genevrieres</t>
  </si>
  <si>
    <t>Mersault 1er Cru Gouttes d'Or</t>
  </si>
  <si>
    <t>CHASSAGNE-MONTRACHET</t>
  </si>
  <si>
    <t>PULIGNY-MONTRACHET</t>
  </si>
  <si>
    <t>Chassagne-Montrachet 1er Cru La Romanee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</si>
</sst>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2" applyNumberFormat="0" applyFill="0" applyAlignment="0" applyProtection="0"/>
    <xf numFmtId="0" fontId="7" fillId="5" borderId="0" applyNumberFormat="0" applyBorder="0" applyAlignment="0" applyProtection="0"/>
    <xf numFmtId="0" fontId="8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6" fillId="4" borderId="0" xfId="3" applyFont="1" applyFill="1" applyBorder="1"/>
    <xf numFmtId="2" fontId="0" fillId="0" borderId="0" xfId="0" applyNumberFormat="1" applyFill="1"/>
    <xf numFmtId="2" fontId="0" fillId="0" borderId="0" xfId="0" applyNumberFormat="1"/>
    <xf numFmtId="2" fontId="6" fillId="4" borderId="0" xfId="3" applyNumberFormat="1" applyFont="1" applyFill="1" applyBorder="1"/>
    <xf numFmtId="2" fontId="2" fillId="2" borderId="0" xfId="1" applyNumberFormat="1"/>
    <xf numFmtId="164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5" borderId="3" xfId="4" applyBorder="1"/>
    <xf numFmtId="0" fontId="7" fillId="5" borderId="1" xfId="4" applyBorder="1"/>
    <xf numFmtId="0" fontId="2" fillId="2" borderId="0" xfId="1"/>
    <xf numFmtId="0" fontId="0" fillId="0" borderId="5" xfId="0" applyBorder="1"/>
    <xf numFmtId="0" fontId="7" fillId="5" borderId="1" xfId="4" applyBorder="1" applyAlignment="1">
      <alignment horizontal="center"/>
    </xf>
    <xf numFmtId="0" fontId="3" fillId="0" borderId="3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 applyBorder="1"/>
    <xf numFmtId="2" fontId="7" fillId="5" borderId="1" xfId="4" applyNumberFormat="1" applyBorder="1" applyAlignment="1">
      <alignment horizontal="center"/>
    </xf>
    <xf numFmtId="0" fontId="1" fillId="0" borderId="0" xfId="2" applyFont="1" applyFill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2" borderId="0" xfId="1" applyFont="1" applyAlignment="1">
      <alignment horizontal="center" vertical="center" wrapText="1"/>
    </xf>
    <xf numFmtId="0" fontId="9" fillId="2" borderId="0" xfId="1" applyFont="1" applyBorder="1" applyAlignment="1">
      <alignment horizontal="center" vertical="center" wrapText="1"/>
    </xf>
    <xf numFmtId="2" fontId="9" fillId="2" borderId="0" xfId="1" applyNumberFormat="1" applyFont="1" applyAlignment="1">
      <alignment horizontal="center" vertical="center" wrapText="1"/>
    </xf>
    <xf numFmtId="0" fontId="0" fillId="0" borderId="3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7">
    <cellStyle name="20% - Accent1" xfId="4" builtinId="30"/>
    <cellStyle name="Accent1" xfId="1" builtinId="29"/>
    <cellStyle name="Accent2" xfId="2" builtinId="33"/>
    <cellStyle name="Heading 1" xfId="3" builtinId="16"/>
    <cellStyle name="Normal" xfId="0" builtinId="0"/>
    <cellStyle name="Normal 2" xfId="6" xr:uid="{00000000-0005-0000-0000-000005000000}"/>
    <cellStyle name="Normal 3" xfId="5" xr:uid="{00000000-0005-0000-0000-000006000000}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64A2"/>
      <color rgb="FF4F81BD"/>
      <color rgb="FFDDDDDD"/>
      <color rgb="FFF8F8F8"/>
      <color rgb="FFFFFFCC"/>
      <color rgb="FFFFCC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39BFC-9F85-4C17-B2AB-6371F6C60405}">
  <sheetPr>
    <pageSetUpPr fitToPage="1"/>
  </sheetPr>
  <dimension ref="A1:AG209"/>
  <sheetViews>
    <sheetView tabSelected="1" zoomScale="85" zoomScaleNormal="85" zoomScaleSheetLayoutView="85" workbookViewId="0">
      <pane xSplit="1" ySplit="2" topLeftCell="B3" activePane="bottomRight" state="frozen"/>
      <selection activeCell="E13" sqref="E13"/>
      <selection pane="topRight" activeCell="K13" sqref="K13"/>
      <selection pane="bottomLeft" activeCell="E18" sqref="E18"/>
      <selection pane="bottomRight" activeCell="B3" sqref="B3"/>
    </sheetView>
  </sheetViews>
  <sheetFormatPr defaultRowHeight="15" x14ac:dyDescent="0.25"/>
  <cols>
    <col min="1" max="1" width="0.42578125" style="10" customWidth="1"/>
    <col min="2" max="2" width="17" style="1" customWidth="1"/>
    <col min="3" max="3" width="23.85546875" style="10" customWidth="1"/>
    <col min="4" max="4" width="4.7109375" style="10" customWidth="1"/>
    <col min="5" max="5" width="6.140625" style="3" customWidth="1"/>
    <col min="6" max="6" width="7.28515625" style="10" customWidth="1"/>
    <col min="7" max="7" width="7" style="10" customWidth="1"/>
    <col min="8" max="8" width="14.28515625" style="10" customWidth="1"/>
    <col min="9" max="9" width="15.28515625" style="10" customWidth="1"/>
    <col min="10" max="10" width="9.140625" style="10" customWidth="1"/>
    <col min="11" max="11" width="6.85546875" style="10" customWidth="1"/>
    <col min="12" max="13" width="6.42578125" style="10" customWidth="1"/>
    <col min="14" max="14" width="5.85546875" style="3" customWidth="1"/>
    <col min="15" max="15" width="6.5703125" style="3" customWidth="1"/>
    <col min="16" max="16" width="6.7109375" style="3" customWidth="1"/>
    <col min="17" max="17" width="13.28515625" style="3" customWidth="1"/>
    <col min="18" max="18" width="15.28515625" style="3" customWidth="1"/>
    <col min="19" max="19" width="6.140625" style="5" customWidth="1"/>
    <col min="20" max="20" width="6.42578125" style="5" customWidth="1"/>
    <col min="21" max="21" width="5.42578125" style="5" customWidth="1"/>
    <col min="22" max="22" width="6.28515625" style="5" customWidth="1"/>
    <col min="23" max="23" width="5.7109375" style="5" customWidth="1"/>
    <col min="24" max="24" width="6.140625" style="5" customWidth="1"/>
    <col min="25" max="25" width="6.5703125" style="3" customWidth="1"/>
    <col min="26" max="28" width="6" style="3" customWidth="1"/>
    <col min="29" max="29" width="6" style="10" customWidth="1"/>
    <col min="30" max="30" width="6.85546875" style="3" customWidth="1"/>
    <col min="31" max="31" width="7" style="3" customWidth="1"/>
    <col min="32" max="32" width="11" style="10" customWidth="1"/>
    <col min="33" max="33" width="6.7109375" style="10" customWidth="1"/>
    <col min="34" max="37" width="12.5703125" style="10" customWidth="1"/>
    <col min="38" max="38" width="1.7109375" style="10" customWidth="1"/>
    <col min="39" max="39" width="12.85546875" style="10" customWidth="1"/>
    <col min="40" max="16384" width="9.140625" style="10"/>
  </cols>
  <sheetData>
    <row r="1" spans="1:33" ht="18.75" x14ac:dyDescent="0.3">
      <c r="B1" s="38" t="s">
        <v>21</v>
      </c>
      <c r="C1" s="38"/>
      <c r="E1" s="10"/>
      <c r="N1" s="10"/>
      <c r="O1" s="10"/>
      <c r="P1" s="10"/>
      <c r="Q1" s="10"/>
      <c r="R1" s="10"/>
      <c r="S1" s="6"/>
      <c r="T1" s="6"/>
      <c r="U1" s="6"/>
      <c r="V1" s="6"/>
      <c r="W1" s="6"/>
      <c r="X1" s="6"/>
      <c r="Y1" s="10"/>
      <c r="Z1" s="10"/>
      <c r="AA1" s="10"/>
      <c r="AB1" s="10"/>
      <c r="AD1" s="10"/>
      <c r="AE1" s="10"/>
      <c r="AG1" s="27"/>
    </row>
    <row r="2" spans="1:33" s="2" customFormat="1" ht="58.5" customHeight="1" x14ac:dyDescent="0.25">
      <c r="B2" s="29" t="s">
        <v>2</v>
      </c>
      <c r="C2" s="29" t="s">
        <v>0</v>
      </c>
      <c r="D2" s="29" t="s">
        <v>4</v>
      </c>
      <c r="E2" s="29" t="s">
        <v>23</v>
      </c>
      <c r="F2" s="29" t="s">
        <v>1</v>
      </c>
      <c r="G2" s="30" t="s">
        <v>20</v>
      </c>
      <c r="H2" s="30" t="s">
        <v>19</v>
      </c>
      <c r="I2" s="30" t="s">
        <v>18</v>
      </c>
      <c r="J2" s="30" t="s">
        <v>24</v>
      </c>
      <c r="K2" s="30" t="s">
        <v>25</v>
      </c>
      <c r="L2" s="30" t="s">
        <v>26</v>
      </c>
      <c r="M2" s="30" t="s">
        <v>27</v>
      </c>
      <c r="N2" s="29" t="s">
        <v>28</v>
      </c>
      <c r="O2" s="29" t="s">
        <v>29</v>
      </c>
      <c r="P2" s="29" t="s">
        <v>17</v>
      </c>
      <c r="Q2" s="29" t="s">
        <v>9</v>
      </c>
      <c r="R2" s="29" t="s">
        <v>15</v>
      </c>
      <c r="S2" s="31" t="s">
        <v>30</v>
      </c>
      <c r="T2" s="31" t="s">
        <v>31</v>
      </c>
      <c r="U2" s="31" t="s">
        <v>32</v>
      </c>
      <c r="V2" s="31" t="s">
        <v>11</v>
      </c>
      <c r="W2" s="31" t="s">
        <v>12</v>
      </c>
      <c r="X2" s="31" t="s">
        <v>13</v>
      </c>
      <c r="Y2" s="29" t="s">
        <v>5</v>
      </c>
      <c r="Z2" s="29" t="s">
        <v>6</v>
      </c>
      <c r="AA2" s="29" t="s">
        <v>7</v>
      </c>
      <c r="AB2" s="29" t="s">
        <v>8</v>
      </c>
      <c r="AC2" s="29" t="s">
        <v>3</v>
      </c>
      <c r="AD2" s="29" t="s">
        <v>14</v>
      </c>
      <c r="AE2" s="29" t="s">
        <v>10</v>
      </c>
      <c r="AG2" s="26" t="s">
        <v>16</v>
      </c>
    </row>
    <row r="3" spans="1:33" ht="17.25" x14ac:dyDescent="0.3">
      <c r="B3" s="4" t="s">
        <v>71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/>
      <c r="T3" s="7"/>
      <c r="U3" s="7"/>
      <c r="V3" s="7"/>
      <c r="W3" s="7"/>
      <c r="X3" s="7"/>
      <c r="Y3" s="4"/>
      <c r="Z3" s="4"/>
      <c r="AA3" s="4"/>
      <c r="AB3" s="4"/>
      <c r="AC3" s="4"/>
      <c r="AD3" s="4"/>
      <c r="AE3" s="4"/>
      <c r="AG3" s="28"/>
    </row>
    <row r="4" spans="1:33" x14ac:dyDescent="0.25">
      <c r="B4" s="21" t="s">
        <v>72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3"/>
      <c r="T4" s="23"/>
      <c r="U4" s="23"/>
      <c r="V4" s="23"/>
      <c r="W4" s="23"/>
      <c r="X4" s="23"/>
      <c r="Y4" s="11"/>
      <c r="Z4" s="11"/>
      <c r="AA4" s="11"/>
      <c r="AB4" s="11"/>
      <c r="AC4" s="11"/>
      <c r="AD4" s="11"/>
      <c r="AE4" s="11"/>
      <c r="AG4" s="28"/>
    </row>
    <row r="5" spans="1:33" x14ac:dyDescent="0.25">
      <c r="A5" s="10" t="e">
        <f>IF(#REF!=0,"Hide","Show")</f>
        <v>#REF!</v>
      </c>
      <c r="B5" s="32" t="str">
        <f t="shared" ref="B5:B24" si="0">"Lucien Le Moine"</f>
        <v>Lucien Le Moine</v>
      </c>
      <c r="C5" s="33" t="str">
        <f>"Batard-Montrachet Grand Cru"</f>
        <v>Batard-Montrachet Grand Cru</v>
      </c>
      <c r="D5" s="34">
        <v>6</v>
      </c>
      <c r="E5" s="34">
        <v>750</v>
      </c>
      <c r="F5" s="34" t="str">
        <f>"2011"</f>
        <v>2011</v>
      </c>
      <c r="G5" s="34" t="str">
        <f t="shared" ref="G5:G24" si="1">"White"</f>
        <v>White</v>
      </c>
      <c r="H5" s="35" t="str">
        <f>"BATARD-MONTRACHET"</f>
        <v>BATARD-MONTRACHET</v>
      </c>
      <c r="I5" s="35" t="str">
        <f t="shared" ref="I5:I24" si="2">"CHARDONNAY"</f>
        <v>CHARDONNAY</v>
      </c>
      <c r="J5" s="13" t="s">
        <v>75</v>
      </c>
      <c r="K5" s="13" t="s">
        <v>34</v>
      </c>
      <c r="L5" s="13" t="s">
        <v>34</v>
      </c>
      <c r="M5" s="13" t="s">
        <v>34</v>
      </c>
      <c r="N5" s="9">
        <v>13.5</v>
      </c>
      <c r="O5" s="13" t="str">
        <f>IF(LEN(Q5)=12,"UPC",IF(LEN(Q5)&gt;12,"EAN",""))</f>
        <v/>
      </c>
      <c r="P5" s="13" t="str">
        <f>IF(ISNUMBER(SEARCH("Gift",AG5)),"Gift Box","")</f>
        <v/>
      </c>
      <c r="Q5" s="36" t="str">
        <f t="shared" ref="Q5:Q24" si="3">"NO UPC"</f>
        <v>NO UPC</v>
      </c>
      <c r="R5" s="36"/>
      <c r="S5" s="22">
        <v>0</v>
      </c>
      <c r="T5" s="22">
        <v>0</v>
      </c>
      <c r="U5" s="22">
        <v>3.33</v>
      </c>
      <c r="V5" s="22">
        <v>13</v>
      </c>
      <c r="W5" s="22">
        <v>10</v>
      </c>
      <c r="X5" s="22">
        <v>8</v>
      </c>
      <c r="Y5" s="13">
        <v>20</v>
      </c>
      <c r="Z5" s="22">
        <f>IF(V5&gt;0,(V5*W5*X5)/1728,"")</f>
        <v>0.60185185185185186</v>
      </c>
      <c r="AA5" s="13">
        <v>15</v>
      </c>
      <c r="AB5" s="13">
        <v>6</v>
      </c>
      <c r="AC5" s="13">
        <v>90</v>
      </c>
      <c r="AD5" s="13">
        <f>IF(AB5&gt;0,AB5*X5,"")</f>
        <v>48</v>
      </c>
      <c r="AE5" s="13">
        <f>IF(Y5&gt;0,Y5*(AA5*AB5),"")</f>
        <v>1800</v>
      </c>
      <c r="AG5" s="28" t="str">
        <f t="shared" ref="AG5:AG19" si="4">"6x750ml C"</f>
        <v>6x750ml C</v>
      </c>
    </row>
    <row r="6" spans="1:33" x14ac:dyDescent="0.25">
      <c r="A6" s="10" t="e">
        <f>IF(#REF!=0,"Hide","Show")</f>
        <v>#REF!</v>
      </c>
      <c r="B6" s="32" t="str">
        <f t="shared" si="0"/>
        <v>Lucien Le Moine</v>
      </c>
      <c r="C6" s="33" t="str">
        <f>"Batard-Montrachet Grand Cru"</f>
        <v>Batard-Montrachet Grand Cru</v>
      </c>
      <c r="D6" s="34">
        <v>6</v>
      </c>
      <c r="E6" s="34">
        <v>750</v>
      </c>
      <c r="F6" s="34" t="str">
        <f>"2012"</f>
        <v>2012</v>
      </c>
      <c r="G6" s="34" t="str">
        <f t="shared" si="1"/>
        <v>White</v>
      </c>
      <c r="H6" s="35" t="str">
        <f>"BATARD-MONTRACHET"</f>
        <v>BATARD-MONTRACHET</v>
      </c>
      <c r="I6" s="35" t="str">
        <f t="shared" si="2"/>
        <v>CHARDONNAY</v>
      </c>
      <c r="J6" s="13" t="s">
        <v>75</v>
      </c>
      <c r="K6" s="13" t="s">
        <v>34</v>
      </c>
      <c r="L6" s="13" t="s">
        <v>34</v>
      </c>
      <c r="M6" s="13" t="s">
        <v>34</v>
      </c>
      <c r="N6" s="9">
        <v>13.5</v>
      </c>
      <c r="O6" s="13" t="str">
        <f t="shared" ref="O6:O8" si="5">IF(LEN(Q6)=12,"UPC",IF(LEN(Q6)&gt;12,"EAN",""))</f>
        <v/>
      </c>
      <c r="P6" s="13" t="str">
        <f t="shared" ref="P6:P8" si="6">IF(ISNUMBER(SEARCH("Gift",AG6)),"Gift Box","")</f>
        <v/>
      </c>
      <c r="Q6" s="36" t="str">
        <f t="shared" si="3"/>
        <v>NO UPC</v>
      </c>
      <c r="R6" s="36"/>
      <c r="S6" s="22">
        <v>0</v>
      </c>
      <c r="T6" s="22">
        <v>0</v>
      </c>
      <c r="U6" s="22">
        <v>3.33</v>
      </c>
      <c r="V6" s="22">
        <v>13</v>
      </c>
      <c r="W6" s="22">
        <v>10</v>
      </c>
      <c r="X6" s="22">
        <v>8</v>
      </c>
      <c r="Y6" s="13">
        <v>20</v>
      </c>
      <c r="Z6" s="22">
        <f t="shared" ref="Z6:Z8" si="7">IF(V6&gt;0,(V6*W6*X6)/1728,"")</f>
        <v>0.60185185185185186</v>
      </c>
      <c r="AA6" s="13">
        <v>15</v>
      </c>
      <c r="AB6" s="13">
        <v>6</v>
      </c>
      <c r="AC6" s="13">
        <v>90</v>
      </c>
      <c r="AD6" s="13">
        <f t="shared" ref="AD6:AD8" si="8">IF(AB6&gt;0,AB6*X6,"")</f>
        <v>48</v>
      </c>
      <c r="AE6" s="13">
        <f t="shared" ref="AE6:AE8" si="9">IF(Y6&gt;0,Y6*(AA6*AB6),"")</f>
        <v>1800</v>
      </c>
      <c r="AG6" s="28" t="str">
        <f t="shared" si="4"/>
        <v>6x750ml C</v>
      </c>
    </row>
    <row r="7" spans="1:33" x14ac:dyDescent="0.25">
      <c r="A7" s="10" t="e">
        <f>IF(#REF!=0,"Hide","Show")</f>
        <v>#REF!</v>
      </c>
      <c r="B7" s="32" t="str">
        <f t="shared" si="0"/>
        <v>Lucien Le Moine</v>
      </c>
      <c r="C7" s="33" t="str">
        <f>"Batard-Montrachet Grand Cru"</f>
        <v>Batard-Montrachet Grand Cru</v>
      </c>
      <c r="D7" s="34">
        <v>6</v>
      </c>
      <c r="E7" s="34">
        <v>750</v>
      </c>
      <c r="F7" s="34" t="str">
        <f>"2014"</f>
        <v>2014</v>
      </c>
      <c r="G7" s="34" t="str">
        <f t="shared" si="1"/>
        <v>White</v>
      </c>
      <c r="H7" s="35" t="str">
        <f>"BATARD-MONTRACHET"</f>
        <v>BATARD-MONTRACHET</v>
      </c>
      <c r="I7" s="35" t="str">
        <f t="shared" si="2"/>
        <v>CHARDONNAY</v>
      </c>
      <c r="J7" s="13" t="s">
        <v>75</v>
      </c>
      <c r="K7" s="13" t="s">
        <v>34</v>
      </c>
      <c r="L7" s="13" t="s">
        <v>34</v>
      </c>
      <c r="M7" s="13" t="s">
        <v>34</v>
      </c>
      <c r="N7" s="9">
        <v>14</v>
      </c>
      <c r="O7" s="13" t="str">
        <f t="shared" si="5"/>
        <v/>
      </c>
      <c r="P7" s="13" t="str">
        <f t="shared" si="6"/>
        <v/>
      </c>
      <c r="Q7" s="36" t="str">
        <f t="shared" si="3"/>
        <v>NO UPC</v>
      </c>
      <c r="R7" s="36"/>
      <c r="S7" s="22">
        <v>0</v>
      </c>
      <c r="T7" s="22">
        <v>0</v>
      </c>
      <c r="U7" s="22">
        <v>3.33</v>
      </c>
      <c r="V7" s="22">
        <v>13</v>
      </c>
      <c r="W7" s="22">
        <v>10</v>
      </c>
      <c r="X7" s="22">
        <v>8</v>
      </c>
      <c r="Y7" s="13">
        <v>20</v>
      </c>
      <c r="Z7" s="22">
        <f t="shared" si="7"/>
        <v>0.60185185185185186</v>
      </c>
      <c r="AA7" s="13">
        <v>15</v>
      </c>
      <c r="AB7" s="13">
        <v>6</v>
      </c>
      <c r="AC7" s="13">
        <v>90</v>
      </c>
      <c r="AD7" s="13">
        <f t="shared" si="8"/>
        <v>48</v>
      </c>
      <c r="AE7" s="13">
        <f t="shared" si="9"/>
        <v>1800</v>
      </c>
      <c r="AG7" s="28" t="str">
        <f t="shared" si="4"/>
        <v>6x750ml C</v>
      </c>
    </row>
    <row r="8" spans="1:33" x14ac:dyDescent="0.25">
      <c r="A8" s="10" t="e">
        <f>IF(#REF!=0,"Hide","Show")</f>
        <v>#REF!</v>
      </c>
      <c r="B8" s="32" t="str">
        <f t="shared" si="0"/>
        <v>Lucien Le Moine</v>
      </c>
      <c r="C8" s="33" t="str">
        <f>"Batard-Montrachet Grand Cru"</f>
        <v>Batard-Montrachet Grand Cru</v>
      </c>
      <c r="D8" s="34">
        <v>6</v>
      </c>
      <c r="E8" s="34">
        <v>750</v>
      </c>
      <c r="F8" s="34" t="str">
        <f>"2015"</f>
        <v>2015</v>
      </c>
      <c r="G8" s="34" t="str">
        <f t="shared" si="1"/>
        <v>White</v>
      </c>
      <c r="H8" s="35" t="str">
        <f>"BATARD-MONTRACHET"</f>
        <v>BATARD-MONTRACHET</v>
      </c>
      <c r="I8" s="35" t="str">
        <f t="shared" si="2"/>
        <v>CHARDONNAY</v>
      </c>
      <c r="J8" s="13" t="s">
        <v>75</v>
      </c>
      <c r="K8" s="13" t="s">
        <v>34</v>
      </c>
      <c r="L8" s="13" t="s">
        <v>34</v>
      </c>
      <c r="M8" s="13" t="s">
        <v>34</v>
      </c>
      <c r="N8" s="9">
        <v>13.5</v>
      </c>
      <c r="O8" s="13" t="str">
        <f t="shared" si="5"/>
        <v/>
      </c>
      <c r="P8" s="13" t="str">
        <f t="shared" si="6"/>
        <v/>
      </c>
      <c r="Q8" s="36" t="str">
        <f t="shared" si="3"/>
        <v>NO UPC</v>
      </c>
      <c r="R8" s="36"/>
      <c r="S8" s="22">
        <v>0</v>
      </c>
      <c r="T8" s="22">
        <v>0</v>
      </c>
      <c r="U8" s="22">
        <v>3.33</v>
      </c>
      <c r="V8" s="22">
        <v>13</v>
      </c>
      <c r="W8" s="22">
        <v>10</v>
      </c>
      <c r="X8" s="22">
        <v>8</v>
      </c>
      <c r="Y8" s="13">
        <v>20</v>
      </c>
      <c r="Z8" s="22">
        <f t="shared" si="7"/>
        <v>0.60185185185185186</v>
      </c>
      <c r="AA8" s="13">
        <v>15</v>
      </c>
      <c r="AB8" s="13">
        <v>6</v>
      </c>
      <c r="AC8" s="13">
        <v>90</v>
      </c>
      <c r="AD8" s="13">
        <f t="shared" si="8"/>
        <v>48</v>
      </c>
      <c r="AE8" s="13">
        <f t="shared" si="9"/>
        <v>1800</v>
      </c>
      <c r="AG8" s="28" t="str">
        <f t="shared" si="4"/>
        <v>6x750ml C</v>
      </c>
    </row>
    <row r="9" spans="1:33" x14ac:dyDescent="0.25">
      <c r="A9" s="10" t="e">
        <f>IF(#REF!=0,"Hide","Show")</f>
        <v>#REF!</v>
      </c>
      <c r="B9" s="32" t="str">
        <f t="shared" si="0"/>
        <v>Lucien Le Moine</v>
      </c>
      <c r="C9" s="33" t="str">
        <f>"Bienvenues-Batard-Montrachet Grand Cru"</f>
        <v>Bienvenues-Batard-Montrachet Grand Cru</v>
      </c>
      <c r="D9" s="34">
        <v>6</v>
      </c>
      <c r="E9" s="34">
        <v>750</v>
      </c>
      <c r="F9" s="34" t="str">
        <f>"2012"</f>
        <v>2012</v>
      </c>
      <c r="G9" s="34" t="str">
        <f t="shared" si="1"/>
        <v>White</v>
      </c>
      <c r="H9" s="35" t="str">
        <f>"BIENVENUES-BATARD-MO"</f>
        <v>BIENVENUES-BATARD-MO</v>
      </c>
      <c r="I9" s="35" t="str">
        <f t="shared" si="2"/>
        <v>CHARDONNAY</v>
      </c>
      <c r="J9" s="13" t="s">
        <v>75</v>
      </c>
      <c r="K9" s="13" t="s">
        <v>34</v>
      </c>
      <c r="L9" s="13" t="s">
        <v>34</v>
      </c>
      <c r="M9" s="13" t="s">
        <v>34</v>
      </c>
      <c r="N9" s="9">
        <v>13</v>
      </c>
      <c r="O9" s="13" t="str">
        <f t="shared" ref="O9:O25" si="10">IF(LEN(Q9)=12,"UPC",IF(LEN(Q9)&gt;12,"EAN",""))</f>
        <v/>
      </c>
      <c r="P9" s="13" t="str">
        <f t="shared" ref="P9:P25" si="11">IF(ISNUMBER(SEARCH("Gift",AG9)),"Gift Box","")</f>
        <v/>
      </c>
      <c r="Q9" s="36" t="str">
        <f t="shared" si="3"/>
        <v>NO UPC</v>
      </c>
      <c r="R9" s="36"/>
      <c r="S9" s="22">
        <v>0</v>
      </c>
      <c r="T9" s="22">
        <v>0</v>
      </c>
      <c r="U9" s="22">
        <v>3.33</v>
      </c>
      <c r="V9" s="22">
        <v>13</v>
      </c>
      <c r="W9" s="22">
        <v>10</v>
      </c>
      <c r="X9" s="22">
        <v>8</v>
      </c>
      <c r="Y9" s="13">
        <v>20</v>
      </c>
      <c r="Z9" s="22">
        <f t="shared" ref="Z9:Z25" si="12">IF(V9&gt;0,(V9*W9*X9)/1728,"")</f>
        <v>0.60185185185185186</v>
      </c>
      <c r="AA9" s="13">
        <v>15</v>
      </c>
      <c r="AB9" s="13">
        <v>6</v>
      </c>
      <c r="AC9" s="13">
        <v>90</v>
      </c>
      <c r="AD9" s="13">
        <f t="shared" ref="AD9:AD25" si="13">IF(AB9&gt;0,AB9*X9,"")</f>
        <v>48</v>
      </c>
      <c r="AE9" s="13">
        <f t="shared" ref="AE9:AE25" si="14">IF(Y9&gt;0,Y9*(AA9*AB9),"")</f>
        <v>1800</v>
      </c>
      <c r="AG9" s="28" t="str">
        <f t="shared" si="4"/>
        <v>6x750ml C</v>
      </c>
    </row>
    <row r="10" spans="1:33" x14ac:dyDescent="0.25">
      <c r="A10" s="10" t="e">
        <f>IF(#REF!=0,"Hide","Show")</f>
        <v>#REF!</v>
      </c>
      <c r="B10" s="32" t="str">
        <f t="shared" si="0"/>
        <v>Lucien Le Moine</v>
      </c>
      <c r="C10" s="33" t="str">
        <f>"Bienvenues-Batard-Montrachet Grand Cru"</f>
        <v>Bienvenues-Batard-Montrachet Grand Cru</v>
      </c>
      <c r="D10" s="34">
        <v>6</v>
      </c>
      <c r="E10" s="34">
        <v>750</v>
      </c>
      <c r="F10" s="34" t="str">
        <f>"2014"</f>
        <v>2014</v>
      </c>
      <c r="G10" s="34" t="str">
        <f t="shared" si="1"/>
        <v>White</v>
      </c>
      <c r="H10" s="35" t="str">
        <f>"BIENVENUES-BATARD-MO"</f>
        <v>BIENVENUES-BATARD-MO</v>
      </c>
      <c r="I10" s="35" t="str">
        <f t="shared" si="2"/>
        <v>CHARDONNAY</v>
      </c>
      <c r="J10" s="13" t="s">
        <v>75</v>
      </c>
      <c r="K10" s="13" t="s">
        <v>34</v>
      </c>
      <c r="L10" s="13" t="s">
        <v>34</v>
      </c>
      <c r="M10" s="13" t="s">
        <v>34</v>
      </c>
      <c r="N10" s="9">
        <v>12.5</v>
      </c>
      <c r="O10" s="13" t="str">
        <f t="shared" ref="O10:O11" si="15">IF(LEN(Q10)=12,"UPC",IF(LEN(Q10)&gt;12,"EAN",""))</f>
        <v/>
      </c>
      <c r="P10" s="13" t="str">
        <f t="shared" ref="P10:P11" si="16">IF(ISNUMBER(SEARCH("Gift",AG10)),"Gift Box","")</f>
        <v/>
      </c>
      <c r="Q10" s="36" t="str">
        <f t="shared" si="3"/>
        <v>NO UPC</v>
      </c>
      <c r="R10" s="36"/>
      <c r="S10" s="22">
        <v>0</v>
      </c>
      <c r="T10" s="22">
        <v>0</v>
      </c>
      <c r="U10" s="22">
        <v>3.33</v>
      </c>
      <c r="V10" s="22">
        <v>13</v>
      </c>
      <c r="W10" s="22">
        <v>10</v>
      </c>
      <c r="X10" s="22">
        <v>8</v>
      </c>
      <c r="Y10" s="13">
        <v>20</v>
      </c>
      <c r="Z10" s="22">
        <f t="shared" ref="Z10:Z11" si="17">IF(V10&gt;0,(V10*W10*X10)/1728,"")</f>
        <v>0.60185185185185186</v>
      </c>
      <c r="AA10" s="13">
        <v>15</v>
      </c>
      <c r="AB10" s="13">
        <v>6</v>
      </c>
      <c r="AC10" s="13">
        <v>90</v>
      </c>
      <c r="AD10" s="13">
        <f t="shared" ref="AD10:AD11" si="18">IF(AB10&gt;0,AB10*X10,"")</f>
        <v>48</v>
      </c>
      <c r="AE10" s="13">
        <f t="shared" ref="AE10:AE11" si="19">IF(Y10&gt;0,Y10*(AA10*AB10),"")</f>
        <v>1800</v>
      </c>
      <c r="AG10" s="28" t="str">
        <f t="shared" si="4"/>
        <v>6x750ml C</v>
      </c>
    </row>
    <row r="11" spans="1:33" x14ac:dyDescent="0.25">
      <c r="A11" s="10" t="e">
        <f>IF(#REF!=0,"Hide","Show")</f>
        <v>#REF!</v>
      </c>
      <c r="B11" s="32" t="str">
        <f t="shared" si="0"/>
        <v>Lucien Le Moine</v>
      </c>
      <c r="C11" s="33" t="str">
        <f>"Bienvenues-Batard-Montrachet Grand Cru"</f>
        <v>Bienvenues-Batard-Montrachet Grand Cru</v>
      </c>
      <c r="D11" s="34">
        <v>6</v>
      </c>
      <c r="E11" s="34">
        <v>750</v>
      </c>
      <c r="F11" s="34" t="str">
        <f>"2015"</f>
        <v>2015</v>
      </c>
      <c r="G11" s="34" t="str">
        <f t="shared" si="1"/>
        <v>White</v>
      </c>
      <c r="H11" s="35" t="str">
        <f>"BIENVENUES-BATARD-MO"</f>
        <v>BIENVENUES-BATARD-MO</v>
      </c>
      <c r="I11" s="35" t="str">
        <f t="shared" si="2"/>
        <v>CHARDONNAY</v>
      </c>
      <c r="J11" s="13" t="s">
        <v>75</v>
      </c>
      <c r="K11" s="13" t="s">
        <v>34</v>
      </c>
      <c r="L11" s="13" t="s">
        <v>34</v>
      </c>
      <c r="M11" s="13" t="s">
        <v>34</v>
      </c>
      <c r="N11" s="9">
        <v>13.5</v>
      </c>
      <c r="O11" s="13" t="str">
        <f t="shared" si="15"/>
        <v/>
      </c>
      <c r="P11" s="13" t="str">
        <f t="shared" si="16"/>
        <v/>
      </c>
      <c r="Q11" s="36" t="str">
        <f t="shared" si="3"/>
        <v>NO UPC</v>
      </c>
      <c r="R11" s="36"/>
      <c r="S11" s="22">
        <v>0</v>
      </c>
      <c r="T11" s="22">
        <v>0</v>
      </c>
      <c r="U11" s="22">
        <v>3.33</v>
      </c>
      <c r="V11" s="22">
        <v>13</v>
      </c>
      <c r="W11" s="22">
        <v>10</v>
      </c>
      <c r="X11" s="22">
        <v>8</v>
      </c>
      <c r="Y11" s="13">
        <v>20</v>
      </c>
      <c r="Z11" s="22">
        <f t="shared" si="17"/>
        <v>0.60185185185185186</v>
      </c>
      <c r="AA11" s="13">
        <v>15</v>
      </c>
      <c r="AB11" s="13">
        <v>6</v>
      </c>
      <c r="AC11" s="13">
        <v>90</v>
      </c>
      <c r="AD11" s="13">
        <f t="shared" si="18"/>
        <v>48</v>
      </c>
      <c r="AE11" s="13">
        <f t="shared" si="19"/>
        <v>1800</v>
      </c>
      <c r="AG11" s="28" t="str">
        <f t="shared" si="4"/>
        <v>6x750ml C</v>
      </c>
    </row>
    <row r="12" spans="1:33" x14ac:dyDescent="0.25">
      <c r="A12" s="10" t="e">
        <f>IF(#REF!=0,"Hide","Show")</f>
        <v>#REF!</v>
      </c>
      <c r="B12" s="32" t="str">
        <f t="shared" si="0"/>
        <v>Lucien Le Moine</v>
      </c>
      <c r="C12" s="33" t="str">
        <f>"Criots-Batard-Montrachet Grand Cru"</f>
        <v>Criots-Batard-Montrachet Grand Cru</v>
      </c>
      <c r="D12" s="34">
        <v>6</v>
      </c>
      <c r="E12" s="34">
        <v>750</v>
      </c>
      <c r="F12" s="34" t="str">
        <f>"2012"</f>
        <v>2012</v>
      </c>
      <c r="G12" s="34" t="str">
        <f t="shared" si="1"/>
        <v>White</v>
      </c>
      <c r="H12" s="35" t="str">
        <f>"CRIOTS-BATARD-MONTRA"</f>
        <v>CRIOTS-BATARD-MONTRA</v>
      </c>
      <c r="I12" s="35" t="str">
        <f t="shared" si="2"/>
        <v>CHARDONNAY</v>
      </c>
      <c r="J12" s="13" t="s">
        <v>75</v>
      </c>
      <c r="K12" s="13" t="s">
        <v>34</v>
      </c>
      <c r="L12" s="13" t="s">
        <v>34</v>
      </c>
      <c r="M12" s="13" t="s">
        <v>34</v>
      </c>
      <c r="N12" s="9">
        <v>13.5</v>
      </c>
      <c r="O12" s="13" t="str">
        <f t="shared" si="10"/>
        <v/>
      </c>
      <c r="P12" s="13" t="str">
        <f t="shared" si="11"/>
        <v/>
      </c>
      <c r="Q12" s="36" t="str">
        <f t="shared" si="3"/>
        <v>NO UPC</v>
      </c>
      <c r="R12" s="36"/>
      <c r="S12" s="22">
        <v>0</v>
      </c>
      <c r="T12" s="22">
        <v>0</v>
      </c>
      <c r="U12" s="22">
        <v>3.33</v>
      </c>
      <c r="V12" s="22">
        <v>13</v>
      </c>
      <c r="W12" s="22">
        <v>10</v>
      </c>
      <c r="X12" s="22">
        <v>8</v>
      </c>
      <c r="Y12" s="13">
        <v>20</v>
      </c>
      <c r="Z12" s="22">
        <f t="shared" si="12"/>
        <v>0.60185185185185186</v>
      </c>
      <c r="AA12" s="13">
        <v>15</v>
      </c>
      <c r="AB12" s="13">
        <v>6</v>
      </c>
      <c r="AC12" s="13">
        <v>90</v>
      </c>
      <c r="AD12" s="13">
        <f t="shared" si="13"/>
        <v>48</v>
      </c>
      <c r="AE12" s="13">
        <f t="shared" si="14"/>
        <v>1800</v>
      </c>
      <c r="AG12" s="28" t="str">
        <f t="shared" si="4"/>
        <v>6x750ml C</v>
      </c>
    </row>
    <row r="13" spans="1:33" x14ac:dyDescent="0.25">
      <c r="A13" s="10" t="e">
        <f>IF(#REF!=0,"Hide","Show")</f>
        <v>#REF!</v>
      </c>
      <c r="B13" s="32" t="str">
        <f t="shared" si="0"/>
        <v>Lucien Le Moine</v>
      </c>
      <c r="C13" s="33" t="str">
        <f>"Criots-Batard-Montrachet Grand Cru"</f>
        <v>Criots-Batard-Montrachet Grand Cru</v>
      </c>
      <c r="D13" s="34">
        <v>6</v>
      </c>
      <c r="E13" s="34">
        <v>750</v>
      </c>
      <c r="F13" s="34" t="str">
        <f>"2013"</f>
        <v>2013</v>
      </c>
      <c r="G13" s="34" t="str">
        <f t="shared" si="1"/>
        <v>White</v>
      </c>
      <c r="H13" s="35" t="str">
        <f>"CRIOTS-BATARD-MONTRA"</f>
        <v>CRIOTS-BATARD-MONTRA</v>
      </c>
      <c r="I13" s="35" t="str">
        <f t="shared" si="2"/>
        <v>CHARDONNAY</v>
      </c>
      <c r="J13" s="13" t="s">
        <v>75</v>
      </c>
      <c r="K13" s="13" t="s">
        <v>34</v>
      </c>
      <c r="L13" s="13" t="s">
        <v>34</v>
      </c>
      <c r="M13" s="13" t="s">
        <v>34</v>
      </c>
      <c r="N13" s="9">
        <v>13.5</v>
      </c>
      <c r="O13" s="13" t="str">
        <f t="shared" ref="O13:O15" si="20">IF(LEN(Q13)=12,"UPC",IF(LEN(Q13)&gt;12,"EAN",""))</f>
        <v/>
      </c>
      <c r="P13" s="13" t="str">
        <f t="shared" ref="P13:P15" si="21">IF(ISNUMBER(SEARCH("Gift",AG13)),"Gift Box","")</f>
        <v/>
      </c>
      <c r="Q13" s="36" t="str">
        <f t="shared" si="3"/>
        <v>NO UPC</v>
      </c>
      <c r="R13" s="36"/>
      <c r="S13" s="22">
        <v>0</v>
      </c>
      <c r="T13" s="22">
        <v>0</v>
      </c>
      <c r="U13" s="22">
        <v>3.33</v>
      </c>
      <c r="V13" s="22">
        <v>13</v>
      </c>
      <c r="W13" s="22">
        <v>10</v>
      </c>
      <c r="X13" s="22">
        <v>8</v>
      </c>
      <c r="Y13" s="13">
        <v>20</v>
      </c>
      <c r="Z13" s="22">
        <f t="shared" ref="Z13:Z15" si="22">IF(V13&gt;0,(V13*W13*X13)/1728,"")</f>
        <v>0.60185185185185186</v>
      </c>
      <c r="AA13" s="13">
        <v>15</v>
      </c>
      <c r="AB13" s="13">
        <v>6</v>
      </c>
      <c r="AC13" s="13">
        <v>90</v>
      </c>
      <c r="AD13" s="13">
        <f t="shared" ref="AD13:AD15" si="23">IF(AB13&gt;0,AB13*X13,"")</f>
        <v>48</v>
      </c>
      <c r="AE13" s="13">
        <f t="shared" ref="AE13:AE15" si="24">IF(Y13&gt;0,Y13*(AA13*AB13),"")</f>
        <v>1800</v>
      </c>
      <c r="AG13" s="28" t="str">
        <f t="shared" si="4"/>
        <v>6x750ml C</v>
      </c>
    </row>
    <row r="14" spans="1:33" x14ac:dyDescent="0.25">
      <c r="A14" s="10" t="e">
        <f>IF(#REF!=0,"Hide","Show")</f>
        <v>#REF!</v>
      </c>
      <c r="B14" s="32" t="str">
        <f t="shared" si="0"/>
        <v>Lucien Le Moine</v>
      </c>
      <c r="C14" s="33" t="str">
        <f>"Criots-Batard-Montrachet Grand Cru"</f>
        <v>Criots-Batard-Montrachet Grand Cru</v>
      </c>
      <c r="D14" s="34">
        <v>6</v>
      </c>
      <c r="E14" s="34">
        <v>750</v>
      </c>
      <c r="F14" s="34" t="str">
        <f>"2014"</f>
        <v>2014</v>
      </c>
      <c r="G14" s="34" t="str">
        <f t="shared" si="1"/>
        <v>White</v>
      </c>
      <c r="H14" s="35" t="str">
        <f>"CRIOTS-BATARD-MONTRA"</f>
        <v>CRIOTS-BATARD-MONTRA</v>
      </c>
      <c r="I14" s="35" t="str">
        <f t="shared" si="2"/>
        <v>CHARDONNAY</v>
      </c>
      <c r="J14" s="13" t="s">
        <v>75</v>
      </c>
      <c r="K14" s="13" t="s">
        <v>34</v>
      </c>
      <c r="L14" s="13" t="s">
        <v>34</v>
      </c>
      <c r="M14" s="13" t="s">
        <v>34</v>
      </c>
      <c r="N14" s="9">
        <v>13.5</v>
      </c>
      <c r="O14" s="13" t="str">
        <f t="shared" si="20"/>
        <v/>
      </c>
      <c r="P14" s="13" t="str">
        <f t="shared" si="21"/>
        <v/>
      </c>
      <c r="Q14" s="36" t="str">
        <f t="shared" si="3"/>
        <v>NO UPC</v>
      </c>
      <c r="R14" s="36"/>
      <c r="S14" s="22">
        <v>0</v>
      </c>
      <c r="T14" s="22">
        <v>0</v>
      </c>
      <c r="U14" s="22">
        <v>3.33</v>
      </c>
      <c r="V14" s="22">
        <v>13</v>
      </c>
      <c r="W14" s="22">
        <v>10</v>
      </c>
      <c r="X14" s="22">
        <v>8</v>
      </c>
      <c r="Y14" s="13">
        <v>20</v>
      </c>
      <c r="Z14" s="22">
        <f t="shared" si="22"/>
        <v>0.60185185185185186</v>
      </c>
      <c r="AA14" s="13">
        <v>15</v>
      </c>
      <c r="AB14" s="13">
        <v>6</v>
      </c>
      <c r="AC14" s="13">
        <v>90</v>
      </c>
      <c r="AD14" s="13">
        <f t="shared" si="23"/>
        <v>48</v>
      </c>
      <c r="AE14" s="13">
        <f t="shared" si="24"/>
        <v>1800</v>
      </c>
      <c r="AG14" s="28" t="str">
        <f t="shared" si="4"/>
        <v>6x750ml C</v>
      </c>
    </row>
    <row r="15" spans="1:33" x14ac:dyDescent="0.25">
      <c r="A15" s="10" t="e">
        <f>IF(#REF!=0,"Hide","Show")</f>
        <v>#REF!</v>
      </c>
      <c r="B15" s="32" t="str">
        <f t="shared" si="0"/>
        <v>Lucien Le Moine</v>
      </c>
      <c r="C15" s="33" t="str">
        <f>"Criots-Batard-Montrachet Grand Cru"</f>
        <v>Criots-Batard-Montrachet Grand Cru</v>
      </c>
      <c r="D15" s="34">
        <v>6</v>
      </c>
      <c r="E15" s="34">
        <v>750</v>
      </c>
      <c r="F15" s="34" t="str">
        <f>"2015"</f>
        <v>2015</v>
      </c>
      <c r="G15" s="34" t="str">
        <f t="shared" si="1"/>
        <v>White</v>
      </c>
      <c r="H15" s="35" t="str">
        <f>"CRIOTS-BATARD-MONTRA"</f>
        <v>CRIOTS-BATARD-MONTRA</v>
      </c>
      <c r="I15" s="35" t="str">
        <f t="shared" si="2"/>
        <v>CHARDONNAY</v>
      </c>
      <c r="J15" s="13" t="s">
        <v>75</v>
      </c>
      <c r="K15" s="13" t="s">
        <v>34</v>
      </c>
      <c r="L15" s="13" t="s">
        <v>34</v>
      </c>
      <c r="M15" s="13" t="s">
        <v>34</v>
      </c>
      <c r="N15" s="9">
        <v>13.5</v>
      </c>
      <c r="O15" s="13" t="str">
        <f t="shared" si="20"/>
        <v/>
      </c>
      <c r="P15" s="13" t="str">
        <f t="shared" si="21"/>
        <v/>
      </c>
      <c r="Q15" s="36" t="str">
        <f t="shared" si="3"/>
        <v>NO UPC</v>
      </c>
      <c r="R15" s="36"/>
      <c r="S15" s="22">
        <v>0</v>
      </c>
      <c r="T15" s="22">
        <v>0</v>
      </c>
      <c r="U15" s="22">
        <v>3.33</v>
      </c>
      <c r="V15" s="22">
        <v>13</v>
      </c>
      <c r="W15" s="22">
        <v>10</v>
      </c>
      <c r="X15" s="22">
        <v>8</v>
      </c>
      <c r="Y15" s="13">
        <v>20</v>
      </c>
      <c r="Z15" s="22">
        <f t="shared" si="22"/>
        <v>0.60185185185185186</v>
      </c>
      <c r="AA15" s="13">
        <v>15</v>
      </c>
      <c r="AB15" s="13">
        <v>6</v>
      </c>
      <c r="AC15" s="13">
        <v>90</v>
      </c>
      <c r="AD15" s="13">
        <f t="shared" si="23"/>
        <v>48</v>
      </c>
      <c r="AE15" s="13">
        <f t="shared" si="24"/>
        <v>1800</v>
      </c>
      <c r="AG15" s="28" t="str">
        <f t="shared" si="4"/>
        <v>6x750ml C</v>
      </c>
    </row>
    <row r="16" spans="1:33" x14ac:dyDescent="0.25">
      <c r="A16" s="10" t="e">
        <f>IF(#REF!=0,"Hide","Show")</f>
        <v>#REF!</v>
      </c>
      <c r="B16" s="32" t="str">
        <f t="shared" si="0"/>
        <v>Lucien Le Moine</v>
      </c>
      <c r="C16" s="33" t="str">
        <f>"Corton-Charlemagne Grand Cru"</f>
        <v>Corton-Charlemagne Grand Cru</v>
      </c>
      <c r="D16" s="34">
        <v>6</v>
      </c>
      <c r="E16" s="34">
        <v>750</v>
      </c>
      <c r="F16" s="34" t="str">
        <f>"2012"</f>
        <v>2012</v>
      </c>
      <c r="G16" s="34" t="str">
        <f t="shared" si="1"/>
        <v>White</v>
      </c>
      <c r="H16" s="35" t="str">
        <f>"CORTON-CHARLEMAGNE"</f>
        <v>CORTON-CHARLEMAGNE</v>
      </c>
      <c r="I16" s="35" t="str">
        <f t="shared" si="2"/>
        <v>CHARDONNAY</v>
      </c>
      <c r="J16" s="13" t="s">
        <v>75</v>
      </c>
      <c r="K16" s="13" t="s">
        <v>34</v>
      </c>
      <c r="L16" s="13" t="s">
        <v>34</v>
      </c>
      <c r="M16" s="13" t="s">
        <v>34</v>
      </c>
      <c r="N16" s="9">
        <v>13.5</v>
      </c>
      <c r="O16" s="13" t="str">
        <f t="shared" si="10"/>
        <v/>
      </c>
      <c r="P16" s="13" t="str">
        <f t="shared" si="11"/>
        <v/>
      </c>
      <c r="Q16" s="36" t="str">
        <f t="shared" si="3"/>
        <v>NO UPC</v>
      </c>
      <c r="R16" s="36"/>
      <c r="S16" s="22">
        <v>0</v>
      </c>
      <c r="T16" s="22">
        <v>0</v>
      </c>
      <c r="U16" s="22">
        <v>3.33</v>
      </c>
      <c r="V16" s="22">
        <v>13</v>
      </c>
      <c r="W16" s="22">
        <v>10</v>
      </c>
      <c r="X16" s="22">
        <v>8</v>
      </c>
      <c r="Y16" s="13">
        <v>20</v>
      </c>
      <c r="Z16" s="22">
        <f t="shared" si="12"/>
        <v>0.60185185185185186</v>
      </c>
      <c r="AA16" s="13">
        <v>15</v>
      </c>
      <c r="AB16" s="13">
        <v>6</v>
      </c>
      <c r="AC16" s="13">
        <v>90</v>
      </c>
      <c r="AD16" s="13">
        <f t="shared" si="13"/>
        <v>48</v>
      </c>
      <c r="AE16" s="13">
        <f t="shared" si="14"/>
        <v>1800</v>
      </c>
      <c r="AG16" s="28" t="str">
        <f t="shared" si="4"/>
        <v>6x750ml C</v>
      </c>
    </row>
    <row r="17" spans="1:33" x14ac:dyDescent="0.25">
      <c r="A17" s="10" t="e">
        <f>IF(#REF!=0,"Hide","Show")</f>
        <v>#REF!</v>
      </c>
      <c r="B17" s="32" t="str">
        <f t="shared" si="0"/>
        <v>Lucien Le Moine</v>
      </c>
      <c r="C17" s="33" t="str">
        <f>"Corton-Charlemagne Grand Cru"</f>
        <v>Corton-Charlemagne Grand Cru</v>
      </c>
      <c r="D17" s="34">
        <v>6</v>
      </c>
      <c r="E17" s="34">
        <v>750</v>
      </c>
      <c r="F17" s="34" t="str">
        <f>"2013"</f>
        <v>2013</v>
      </c>
      <c r="G17" s="34" t="str">
        <f t="shared" si="1"/>
        <v>White</v>
      </c>
      <c r="H17" s="35" t="str">
        <f>"CORTON-CHARLEMAGNE"</f>
        <v>CORTON-CHARLEMAGNE</v>
      </c>
      <c r="I17" s="35" t="str">
        <f t="shared" si="2"/>
        <v>CHARDONNAY</v>
      </c>
      <c r="J17" s="13" t="s">
        <v>75</v>
      </c>
      <c r="K17" s="13" t="s">
        <v>34</v>
      </c>
      <c r="L17" s="13" t="s">
        <v>34</v>
      </c>
      <c r="M17" s="13" t="s">
        <v>34</v>
      </c>
      <c r="N17" s="9">
        <v>13.5</v>
      </c>
      <c r="O17" s="13" t="str">
        <f t="shared" ref="O17:O18" si="25">IF(LEN(Q17)=12,"UPC",IF(LEN(Q17)&gt;12,"EAN",""))</f>
        <v/>
      </c>
      <c r="P17" s="13" t="str">
        <f t="shared" ref="P17:P18" si="26">IF(ISNUMBER(SEARCH("Gift",AG17)),"Gift Box","")</f>
        <v/>
      </c>
      <c r="Q17" s="36" t="str">
        <f t="shared" si="3"/>
        <v>NO UPC</v>
      </c>
      <c r="R17" s="36"/>
      <c r="S17" s="22">
        <v>0</v>
      </c>
      <c r="T17" s="22">
        <v>0</v>
      </c>
      <c r="U17" s="22">
        <v>3.33</v>
      </c>
      <c r="V17" s="22">
        <v>13</v>
      </c>
      <c r="W17" s="22">
        <v>10</v>
      </c>
      <c r="X17" s="22">
        <v>8</v>
      </c>
      <c r="Y17" s="13">
        <v>20</v>
      </c>
      <c r="Z17" s="22">
        <f t="shared" ref="Z17:Z18" si="27">IF(V17&gt;0,(V17*W17*X17)/1728,"")</f>
        <v>0.60185185185185186</v>
      </c>
      <c r="AA17" s="13">
        <v>15</v>
      </c>
      <c r="AB17" s="13">
        <v>6</v>
      </c>
      <c r="AC17" s="13">
        <v>90</v>
      </c>
      <c r="AD17" s="13">
        <f t="shared" ref="AD17:AD18" si="28">IF(AB17&gt;0,AB17*X17,"")</f>
        <v>48</v>
      </c>
      <c r="AE17" s="13">
        <f t="shared" ref="AE17:AE18" si="29">IF(Y17&gt;0,Y17*(AA17*AB17),"")</f>
        <v>1800</v>
      </c>
      <c r="AG17" s="28" t="str">
        <f t="shared" si="4"/>
        <v>6x750ml C</v>
      </c>
    </row>
    <row r="18" spans="1:33" x14ac:dyDescent="0.25">
      <c r="A18" s="10" t="e">
        <f>IF(#REF!=0,"Hide","Show")</f>
        <v>#REF!</v>
      </c>
      <c r="B18" s="32" t="str">
        <f t="shared" si="0"/>
        <v>Lucien Le Moine</v>
      </c>
      <c r="C18" s="33" t="str">
        <f>"Corton-Charlemagne Grand Cru"</f>
        <v>Corton-Charlemagne Grand Cru</v>
      </c>
      <c r="D18" s="34">
        <v>6</v>
      </c>
      <c r="E18" s="34">
        <v>750</v>
      </c>
      <c r="F18" s="34" t="str">
        <f>"2014"</f>
        <v>2014</v>
      </c>
      <c r="G18" s="34" t="str">
        <f t="shared" si="1"/>
        <v>White</v>
      </c>
      <c r="H18" s="35" t="str">
        <f>"CORTON-CHARLEMAGNE"</f>
        <v>CORTON-CHARLEMAGNE</v>
      </c>
      <c r="I18" s="35" t="str">
        <f t="shared" si="2"/>
        <v>CHARDONNAY</v>
      </c>
      <c r="J18" s="13" t="s">
        <v>75</v>
      </c>
      <c r="K18" s="13" t="s">
        <v>34</v>
      </c>
      <c r="L18" s="13" t="s">
        <v>34</v>
      </c>
      <c r="M18" s="13" t="s">
        <v>34</v>
      </c>
      <c r="N18" s="9">
        <v>14.5</v>
      </c>
      <c r="O18" s="13" t="str">
        <f t="shared" si="25"/>
        <v/>
      </c>
      <c r="P18" s="13" t="str">
        <f t="shared" si="26"/>
        <v/>
      </c>
      <c r="Q18" s="36" t="str">
        <f t="shared" si="3"/>
        <v>NO UPC</v>
      </c>
      <c r="R18" s="36"/>
      <c r="S18" s="22">
        <v>0</v>
      </c>
      <c r="T18" s="22">
        <v>0</v>
      </c>
      <c r="U18" s="22">
        <v>3.33</v>
      </c>
      <c r="V18" s="22">
        <v>13</v>
      </c>
      <c r="W18" s="22">
        <v>10</v>
      </c>
      <c r="X18" s="22">
        <v>8</v>
      </c>
      <c r="Y18" s="13">
        <v>20</v>
      </c>
      <c r="Z18" s="22">
        <f t="shared" si="27"/>
        <v>0.60185185185185186</v>
      </c>
      <c r="AA18" s="13">
        <v>15</v>
      </c>
      <c r="AB18" s="13">
        <v>6</v>
      </c>
      <c r="AC18" s="13">
        <v>90</v>
      </c>
      <c r="AD18" s="13">
        <f t="shared" si="28"/>
        <v>48</v>
      </c>
      <c r="AE18" s="13">
        <f t="shared" si="29"/>
        <v>1800</v>
      </c>
      <c r="AG18" s="28" t="str">
        <f t="shared" si="4"/>
        <v>6x750ml C</v>
      </c>
    </row>
    <row r="19" spans="1:33" x14ac:dyDescent="0.25">
      <c r="A19" s="10" t="e">
        <f>IF(#REF!=0,"Hide","Show")</f>
        <v>#REF!</v>
      </c>
      <c r="B19" s="32" t="str">
        <f t="shared" si="0"/>
        <v>Lucien Le Moine</v>
      </c>
      <c r="C19" s="33" t="str">
        <f>"Corton Blanc Grand Cru Grand Cru"</f>
        <v>Corton Blanc Grand Cru Grand Cru</v>
      </c>
      <c r="D19" s="34">
        <v>6</v>
      </c>
      <c r="E19" s="34">
        <v>750</v>
      </c>
      <c r="F19" s="34" t="str">
        <f>"2012"</f>
        <v>2012</v>
      </c>
      <c r="G19" s="34" t="str">
        <f t="shared" si="1"/>
        <v>White</v>
      </c>
      <c r="H19" s="35" t="str">
        <f t="shared" ref="H19:H24" si="30">"CORTON BLANC"</f>
        <v>CORTON BLANC</v>
      </c>
      <c r="I19" s="35" t="str">
        <f t="shared" si="2"/>
        <v>CHARDONNAY</v>
      </c>
      <c r="J19" s="13" t="s">
        <v>75</v>
      </c>
      <c r="K19" s="13" t="s">
        <v>34</v>
      </c>
      <c r="L19" s="13" t="s">
        <v>34</v>
      </c>
      <c r="M19" s="13" t="s">
        <v>34</v>
      </c>
      <c r="N19" s="9">
        <v>13.5</v>
      </c>
      <c r="O19" s="13" t="str">
        <f t="shared" si="10"/>
        <v/>
      </c>
      <c r="P19" s="13" t="str">
        <f t="shared" si="11"/>
        <v/>
      </c>
      <c r="Q19" s="36" t="str">
        <f t="shared" si="3"/>
        <v>NO UPC</v>
      </c>
      <c r="R19" s="36"/>
      <c r="S19" s="22">
        <v>0</v>
      </c>
      <c r="T19" s="22">
        <v>0</v>
      </c>
      <c r="U19" s="22">
        <v>3.33</v>
      </c>
      <c r="V19" s="22">
        <v>13</v>
      </c>
      <c r="W19" s="22">
        <v>10</v>
      </c>
      <c r="X19" s="22">
        <v>8</v>
      </c>
      <c r="Y19" s="13">
        <v>20</v>
      </c>
      <c r="Z19" s="22">
        <f t="shared" si="12"/>
        <v>0.60185185185185186</v>
      </c>
      <c r="AA19" s="13">
        <v>15</v>
      </c>
      <c r="AB19" s="13">
        <v>6</v>
      </c>
      <c r="AC19" s="13">
        <v>90</v>
      </c>
      <c r="AD19" s="13">
        <f t="shared" si="13"/>
        <v>48</v>
      </c>
      <c r="AE19" s="13">
        <f t="shared" si="14"/>
        <v>1800</v>
      </c>
      <c r="AG19" s="28" t="str">
        <f t="shared" si="4"/>
        <v>6x750ml C</v>
      </c>
    </row>
    <row r="20" spans="1:33" x14ac:dyDescent="0.25">
      <c r="A20" s="10" t="e">
        <f>IF(#REF!=0,"Hide","Show")</f>
        <v>#REF!</v>
      </c>
      <c r="B20" s="32" t="str">
        <f t="shared" si="0"/>
        <v>Lucien Le Moine</v>
      </c>
      <c r="C20" s="33" t="str">
        <f>"Corton Blanc Grand Cru Grand Cru"</f>
        <v>Corton Blanc Grand Cru Grand Cru</v>
      </c>
      <c r="D20" s="34">
        <v>3</v>
      </c>
      <c r="E20" s="34">
        <v>1500</v>
      </c>
      <c r="F20" s="34" t="str">
        <f>"2012"</f>
        <v>2012</v>
      </c>
      <c r="G20" s="34" t="str">
        <f t="shared" si="1"/>
        <v>White</v>
      </c>
      <c r="H20" s="35" t="str">
        <f t="shared" si="30"/>
        <v>CORTON BLANC</v>
      </c>
      <c r="I20" s="35" t="str">
        <f t="shared" si="2"/>
        <v>CHARDONNAY</v>
      </c>
      <c r="J20" s="13" t="s">
        <v>75</v>
      </c>
      <c r="K20" s="13" t="s">
        <v>34</v>
      </c>
      <c r="L20" s="13" t="s">
        <v>34</v>
      </c>
      <c r="M20" s="13" t="s">
        <v>34</v>
      </c>
      <c r="N20" s="9">
        <v>13.5</v>
      </c>
      <c r="O20" s="13" t="str">
        <f t="shared" ref="O20:O21" si="31">IF(LEN(Q20)=12,"UPC",IF(LEN(Q20)&gt;12,"EAN",""))</f>
        <v/>
      </c>
      <c r="P20" s="13" t="str">
        <f t="shared" ref="P20:P21" si="32">IF(ISNUMBER(SEARCH("Gift",AG20)),"Gift Box","")</f>
        <v/>
      </c>
      <c r="Q20" s="36" t="str">
        <f t="shared" si="3"/>
        <v>NO UPC</v>
      </c>
      <c r="R20" s="36"/>
      <c r="S20" s="22">
        <v>0</v>
      </c>
      <c r="T20" s="22">
        <v>0</v>
      </c>
      <c r="U20" s="22">
        <v>3.33</v>
      </c>
      <c r="V20" s="22">
        <v>13</v>
      </c>
      <c r="W20" s="22">
        <v>10</v>
      </c>
      <c r="X20" s="22">
        <v>8</v>
      </c>
      <c r="Y20" s="13">
        <v>9.99</v>
      </c>
      <c r="Z20" s="22">
        <f t="shared" ref="Z20:Z21" si="33">IF(V20&gt;0,(V20*W20*X20)/1728,"")</f>
        <v>0.60185185185185186</v>
      </c>
      <c r="AA20" s="13">
        <v>15</v>
      </c>
      <c r="AB20" s="13">
        <v>6</v>
      </c>
      <c r="AC20" s="13">
        <v>90</v>
      </c>
      <c r="AD20" s="13">
        <f t="shared" ref="AD20:AD21" si="34">IF(AB20&gt;0,AB20*X20,"")</f>
        <v>48</v>
      </c>
      <c r="AE20" s="13">
        <f t="shared" ref="AE20:AE21" si="35">IF(Y20&gt;0,Y20*(AA20*AB20),"")</f>
        <v>899.1</v>
      </c>
      <c r="AG20" s="28" t="str">
        <f>"3x1.5L C"</f>
        <v>3x1.5L C</v>
      </c>
    </row>
    <row r="21" spans="1:33" x14ac:dyDescent="0.25">
      <c r="A21" s="10" t="e">
        <f>IF(#REF!=0,"Hide","Show")</f>
        <v>#REF!</v>
      </c>
      <c r="B21" s="32" t="str">
        <f t="shared" si="0"/>
        <v>Lucien Le Moine</v>
      </c>
      <c r="C21" s="33" t="str">
        <f>"Corton Blanc Grand Cru Grand Cru"</f>
        <v>Corton Blanc Grand Cru Grand Cru</v>
      </c>
      <c r="D21" s="34">
        <v>6</v>
      </c>
      <c r="E21" s="34">
        <v>750</v>
      </c>
      <c r="F21" s="34" t="str">
        <f>"2015"</f>
        <v>2015</v>
      </c>
      <c r="G21" s="34" t="str">
        <f t="shared" si="1"/>
        <v>White</v>
      </c>
      <c r="H21" s="35" t="str">
        <f t="shared" si="30"/>
        <v>CORTON BLANC</v>
      </c>
      <c r="I21" s="35" t="str">
        <f t="shared" si="2"/>
        <v>CHARDONNAY</v>
      </c>
      <c r="J21" s="13" t="s">
        <v>75</v>
      </c>
      <c r="K21" s="13" t="s">
        <v>34</v>
      </c>
      <c r="L21" s="13" t="s">
        <v>34</v>
      </c>
      <c r="M21" s="13" t="s">
        <v>34</v>
      </c>
      <c r="N21" s="9">
        <v>13.5</v>
      </c>
      <c r="O21" s="13" t="str">
        <f t="shared" si="31"/>
        <v/>
      </c>
      <c r="P21" s="13" t="str">
        <f t="shared" si="32"/>
        <v/>
      </c>
      <c r="Q21" s="36" t="str">
        <f t="shared" si="3"/>
        <v>NO UPC</v>
      </c>
      <c r="R21" s="36"/>
      <c r="S21" s="22">
        <v>0</v>
      </c>
      <c r="T21" s="22">
        <v>0</v>
      </c>
      <c r="U21" s="22">
        <v>3.33</v>
      </c>
      <c r="V21" s="22">
        <v>13</v>
      </c>
      <c r="W21" s="22">
        <v>10</v>
      </c>
      <c r="X21" s="22">
        <v>8</v>
      </c>
      <c r="Y21" s="13">
        <v>20</v>
      </c>
      <c r="Z21" s="22">
        <f t="shared" si="33"/>
        <v>0.60185185185185186</v>
      </c>
      <c r="AA21" s="13">
        <v>15</v>
      </c>
      <c r="AB21" s="13">
        <v>6</v>
      </c>
      <c r="AC21" s="13">
        <v>90</v>
      </c>
      <c r="AD21" s="13">
        <f t="shared" si="34"/>
        <v>48</v>
      </c>
      <c r="AE21" s="13">
        <f t="shared" si="35"/>
        <v>1800</v>
      </c>
      <c r="AG21" s="28" t="str">
        <f>"6x750ml C"</f>
        <v>6x750ml C</v>
      </c>
    </row>
    <row r="22" spans="1:33" x14ac:dyDescent="0.25">
      <c r="A22" s="10" t="e">
        <f>IF(#REF!=0,"Hide","Show")</f>
        <v>#REF!</v>
      </c>
      <c r="B22" s="32" t="str">
        <f t="shared" si="0"/>
        <v>Lucien Le Moine</v>
      </c>
      <c r="C22" s="33" t="str">
        <f>"Corton Grandes Lolieres Grand Cru"</f>
        <v>Corton Grandes Lolieres Grand Cru</v>
      </c>
      <c r="D22" s="34">
        <v>6</v>
      </c>
      <c r="E22" s="34">
        <v>750</v>
      </c>
      <c r="F22" s="34" t="str">
        <f>"2013"</f>
        <v>2013</v>
      </c>
      <c r="G22" s="34" t="str">
        <f t="shared" si="1"/>
        <v>White</v>
      </c>
      <c r="H22" s="35" t="str">
        <f t="shared" si="30"/>
        <v>CORTON BLANC</v>
      </c>
      <c r="I22" s="35" t="str">
        <f t="shared" si="2"/>
        <v>CHARDONNAY</v>
      </c>
      <c r="J22" s="13" t="s">
        <v>75</v>
      </c>
      <c r="K22" s="13" t="s">
        <v>34</v>
      </c>
      <c r="L22" s="13" t="s">
        <v>34</v>
      </c>
      <c r="M22" s="13" t="s">
        <v>34</v>
      </c>
      <c r="N22" s="9">
        <v>13.5</v>
      </c>
      <c r="O22" s="13" t="str">
        <f t="shared" si="10"/>
        <v/>
      </c>
      <c r="P22" s="13" t="str">
        <f t="shared" si="11"/>
        <v/>
      </c>
      <c r="Q22" s="36" t="str">
        <f t="shared" si="3"/>
        <v>NO UPC</v>
      </c>
      <c r="R22" s="36"/>
      <c r="S22" s="22">
        <v>0</v>
      </c>
      <c r="T22" s="22">
        <v>0</v>
      </c>
      <c r="U22" s="22">
        <v>3.33</v>
      </c>
      <c r="V22" s="22">
        <v>13</v>
      </c>
      <c r="W22" s="22">
        <v>10</v>
      </c>
      <c r="X22" s="22">
        <v>8</v>
      </c>
      <c r="Y22" s="13">
        <v>20</v>
      </c>
      <c r="Z22" s="22">
        <f t="shared" si="12"/>
        <v>0.60185185185185186</v>
      </c>
      <c r="AA22" s="13">
        <v>15</v>
      </c>
      <c r="AB22" s="13">
        <v>6</v>
      </c>
      <c r="AC22" s="13">
        <v>90</v>
      </c>
      <c r="AD22" s="13">
        <f t="shared" si="13"/>
        <v>48</v>
      </c>
      <c r="AE22" s="13">
        <f t="shared" si="14"/>
        <v>1800</v>
      </c>
      <c r="AG22" s="28" t="str">
        <f>"6x750ml C"</f>
        <v>6x750ml C</v>
      </c>
    </row>
    <row r="23" spans="1:33" x14ac:dyDescent="0.25">
      <c r="A23" s="10" t="e">
        <f>IF(#REF!=0,"Hide","Show")</f>
        <v>#REF!</v>
      </c>
      <c r="B23" s="32" t="str">
        <f t="shared" si="0"/>
        <v>Lucien Le Moine</v>
      </c>
      <c r="C23" s="33" t="str">
        <f>"Corton Grandes Lolieres Grand Cru"</f>
        <v>Corton Grandes Lolieres Grand Cru</v>
      </c>
      <c r="D23" s="34">
        <v>6</v>
      </c>
      <c r="E23" s="34">
        <v>750</v>
      </c>
      <c r="F23" s="34" t="str">
        <f>"2014"</f>
        <v>2014</v>
      </c>
      <c r="G23" s="34" t="str">
        <f t="shared" si="1"/>
        <v>White</v>
      </c>
      <c r="H23" s="35" t="str">
        <f t="shared" si="30"/>
        <v>CORTON BLANC</v>
      </c>
      <c r="I23" s="35" t="str">
        <f t="shared" si="2"/>
        <v>CHARDONNAY</v>
      </c>
      <c r="J23" s="13" t="s">
        <v>75</v>
      </c>
      <c r="K23" s="13" t="s">
        <v>34</v>
      </c>
      <c r="L23" s="13" t="s">
        <v>34</v>
      </c>
      <c r="M23" s="13" t="s">
        <v>34</v>
      </c>
      <c r="N23" s="9">
        <v>13.5</v>
      </c>
      <c r="O23" s="13" t="str">
        <f t="shared" ref="O23:O24" si="36">IF(LEN(Q23)=12,"UPC",IF(LEN(Q23)&gt;12,"EAN",""))</f>
        <v/>
      </c>
      <c r="P23" s="13" t="str">
        <f t="shared" ref="P23:P24" si="37">IF(ISNUMBER(SEARCH("Gift",AG23)),"Gift Box","")</f>
        <v/>
      </c>
      <c r="Q23" s="36" t="str">
        <f t="shared" si="3"/>
        <v>NO UPC</v>
      </c>
      <c r="R23" s="36"/>
      <c r="S23" s="22">
        <v>0</v>
      </c>
      <c r="T23" s="22">
        <v>0</v>
      </c>
      <c r="U23" s="22">
        <v>3.33</v>
      </c>
      <c r="V23" s="22">
        <v>13</v>
      </c>
      <c r="W23" s="22">
        <v>10</v>
      </c>
      <c r="X23" s="22">
        <v>8</v>
      </c>
      <c r="Y23" s="13">
        <v>20</v>
      </c>
      <c r="Z23" s="22">
        <f t="shared" ref="Z23:Z24" si="38">IF(V23&gt;0,(V23*W23*X23)/1728,"")</f>
        <v>0.60185185185185186</v>
      </c>
      <c r="AA23" s="13">
        <v>15</v>
      </c>
      <c r="AB23" s="13">
        <v>6</v>
      </c>
      <c r="AC23" s="13">
        <v>90</v>
      </c>
      <c r="AD23" s="13">
        <f t="shared" ref="AD23:AD24" si="39">IF(AB23&gt;0,AB23*X23,"")</f>
        <v>48</v>
      </c>
      <c r="AE23" s="13">
        <f t="shared" ref="AE23:AE24" si="40">IF(Y23&gt;0,Y23*(AA23*AB23),"")</f>
        <v>1800</v>
      </c>
      <c r="AG23" s="28" t="str">
        <f>"6x750ml C"</f>
        <v>6x750ml C</v>
      </c>
    </row>
    <row r="24" spans="1:33" x14ac:dyDescent="0.25">
      <c r="A24" s="10" t="e">
        <f>IF(#REF!=0,"Hide","Show")</f>
        <v>#REF!</v>
      </c>
      <c r="B24" s="32" t="str">
        <f t="shared" si="0"/>
        <v>Lucien Le Moine</v>
      </c>
      <c r="C24" s="33" t="str">
        <f>"Corton Grandes Lolieres Grand Cru"</f>
        <v>Corton Grandes Lolieres Grand Cru</v>
      </c>
      <c r="D24" s="34">
        <v>6</v>
      </c>
      <c r="E24" s="34">
        <v>750</v>
      </c>
      <c r="F24" s="34" t="str">
        <f>"2015"</f>
        <v>2015</v>
      </c>
      <c r="G24" s="34" t="str">
        <f t="shared" si="1"/>
        <v>White</v>
      </c>
      <c r="H24" s="35" t="str">
        <f t="shared" si="30"/>
        <v>CORTON BLANC</v>
      </c>
      <c r="I24" s="35" t="str">
        <f t="shared" si="2"/>
        <v>CHARDONNAY</v>
      </c>
      <c r="J24" s="13" t="s">
        <v>75</v>
      </c>
      <c r="K24" s="13" t="s">
        <v>34</v>
      </c>
      <c r="L24" s="13" t="s">
        <v>34</v>
      </c>
      <c r="M24" s="13" t="s">
        <v>34</v>
      </c>
      <c r="N24" s="9">
        <v>14</v>
      </c>
      <c r="O24" s="13" t="str">
        <f t="shared" si="36"/>
        <v/>
      </c>
      <c r="P24" s="13" t="str">
        <f t="shared" si="37"/>
        <v/>
      </c>
      <c r="Q24" s="36" t="str">
        <f t="shared" si="3"/>
        <v>NO UPC</v>
      </c>
      <c r="R24" s="36"/>
      <c r="S24" s="22">
        <v>0</v>
      </c>
      <c r="T24" s="22">
        <v>0</v>
      </c>
      <c r="U24" s="22">
        <v>3.33</v>
      </c>
      <c r="V24" s="22">
        <v>13</v>
      </c>
      <c r="W24" s="22">
        <v>10</v>
      </c>
      <c r="X24" s="22">
        <v>8</v>
      </c>
      <c r="Y24" s="13">
        <v>20</v>
      </c>
      <c r="Z24" s="22">
        <f t="shared" si="38"/>
        <v>0.60185185185185186</v>
      </c>
      <c r="AA24" s="13">
        <v>15</v>
      </c>
      <c r="AB24" s="13">
        <v>6</v>
      </c>
      <c r="AC24" s="13">
        <v>90</v>
      </c>
      <c r="AD24" s="13">
        <f t="shared" si="39"/>
        <v>48</v>
      </c>
      <c r="AE24" s="13">
        <f t="shared" si="40"/>
        <v>1800</v>
      </c>
      <c r="AG24" s="28" t="str">
        <f>"6x750ml C"</f>
        <v>6x750ml C</v>
      </c>
    </row>
    <row r="25" spans="1:33" x14ac:dyDescent="0.25">
      <c r="A25" s="10" t="e">
        <f>IF(#REF!=0,"Hide","Show")</f>
        <v>#REF!</v>
      </c>
      <c r="B25" s="32" t="s">
        <v>71</v>
      </c>
      <c r="C25" s="33" t="s">
        <v>147</v>
      </c>
      <c r="D25" s="34">
        <v>6</v>
      </c>
      <c r="E25" s="34">
        <v>750</v>
      </c>
      <c r="F25" s="34" t="s">
        <v>93</v>
      </c>
      <c r="G25" s="34" t="s">
        <v>137</v>
      </c>
      <c r="H25" s="35" t="s">
        <v>148</v>
      </c>
      <c r="I25" s="35" t="s">
        <v>134</v>
      </c>
      <c r="J25" s="13" t="s">
        <v>75</v>
      </c>
      <c r="K25" s="13" t="s">
        <v>34</v>
      </c>
      <c r="L25" s="13" t="s">
        <v>34</v>
      </c>
      <c r="M25" s="13" t="s">
        <v>34</v>
      </c>
      <c r="N25" s="9">
        <v>13.5</v>
      </c>
      <c r="O25" s="13" t="str">
        <f t="shared" si="10"/>
        <v/>
      </c>
      <c r="P25" s="13" t="str">
        <f t="shared" si="11"/>
        <v/>
      </c>
      <c r="Q25" s="36" t="s">
        <v>91</v>
      </c>
      <c r="R25" s="36" t="s">
        <v>22</v>
      </c>
      <c r="S25" s="22">
        <v>0</v>
      </c>
      <c r="T25" s="22">
        <v>0</v>
      </c>
      <c r="U25" s="22">
        <v>3.33</v>
      </c>
      <c r="V25" s="22">
        <v>13</v>
      </c>
      <c r="W25" s="22">
        <v>10</v>
      </c>
      <c r="X25" s="22">
        <v>8</v>
      </c>
      <c r="Y25" s="13">
        <v>20</v>
      </c>
      <c r="Z25" s="22">
        <f t="shared" si="12"/>
        <v>0.60185185185185186</v>
      </c>
      <c r="AA25" s="13">
        <v>15</v>
      </c>
      <c r="AB25" s="13">
        <v>6</v>
      </c>
      <c r="AC25" s="13">
        <v>90</v>
      </c>
      <c r="AD25" s="13">
        <f t="shared" si="13"/>
        <v>48</v>
      </c>
      <c r="AE25" s="13">
        <f t="shared" si="14"/>
        <v>1800</v>
      </c>
      <c r="AG25" s="28" t="s">
        <v>73</v>
      </c>
    </row>
    <row r="26" spans="1:33" ht="6" customHeight="1" x14ac:dyDescent="0.25">
      <c r="B26" s="15"/>
      <c r="C26" s="12"/>
      <c r="D26" s="12"/>
      <c r="E26" s="12"/>
      <c r="F26" s="19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4"/>
      <c r="T26" s="24"/>
      <c r="U26" s="24"/>
      <c r="V26" s="24"/>
      <c r="W26" s="24"/>
      <c r="X26" s="24"/>
      <c r="Y26" s="12"/>
      <c r="Z26" s="12"/>
      <c r="AA26" s="12"/>
      <c r="AB26" s="12"/>
      <c r="AC26" s="12"/>
      <c r="AD26" s="12"/>
      <c r="AE26" s="12"/>
      <c r="AG26" s="27"/>
    </row>
    <row r="27" spans="1:33" x14ac:dyDescent="0.25">
      <c r="B27" s="21" t="str">
        <f>"BEAUNE WHITE PREMIER CRU"</f>
        <v>BEAUNE WHITE PREMIER CRU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23"/>
      <c r="T27" s="23"/>
      <c r="U27" s="23"/>
      <c r="V27" s="23"/>
      <c r="W27" s="23"/>
      <c r="X27" s="23"/>
      <c r="Y27" s="11"/>
      <c r="Z27" s="11"/>
      <c r="AA27" s="11"/>
      <c r="AB27" s="11"/>
      <c r="AC27" s="11"/>
      <c r="AD27" s="11"/>
      <c r="AE27" s="11"/>
      <c r="AG27" s="28"/>
    </row>
    <row r="28" spans="1:33" x14ac:dyDescent="0.25">
      <c r="A28" s="10" t="e">
        <f>IF(#REF!=0,"Hide","Show")</f>
        <v>#REF!</v>
      </c>
      <c r="B28" s="32" t="str">
        <f>"Lucien Le Moine"</f>
        <v>Lucien Le Moine</v>
      </c>
      <c r="C28" s="33" t="str">
        <f>"Chassagne-Montrachet 1er Cru Morgeot"</f>
        <v>Chassagne-Montrachet 1er Cru Morgeot</v>
      </c>
      <c r="D28" s="34">
        <v>6</v>
      </c>
      <c r="E28" s="34">
        <v>750</v>
      </c>
      <c r="F28" s="34" t="str">
        <f>"2013"</f>
        <v>2013</v>
      </c>
      <c r="G28" s="34" t="str">
        <f>"White"</f>
        <v>White</v>
      </c>
      <c r="H28" s="35" t="str">
        <f>"CHASSAGNE-MONTRACHET"</f>
        <v>CHASSAGNE-MONTRACHET</v>
      </c>
      <c r="I28" s="35" t="str">
        <f>"CHARDONNAY"</f>
        <v>CHARDONNAY</v>
      </c>
      <c r="J28" s="13" t="s">
        <v>75</v>
      </c>
      <c r="K28" s="13" t="s">
        <v>34</v>
      </c>
      <c r="L28" s="13" t="s">
        <v>34</v>
      </c>
      <c r="M28" s="13" t="s">
        <v>34</v>
      </c>
      <c r="N28" s="9">
        <v>13</v>
      </c>
      <c r="O28" s="13" t="str">
        <f t="shared" ref="O28" si="41">IF(LEN(Q28)=12,"UPC",IF(LEN(Q28)&gt;12,"EAN",""))</f>
        <v/>
      </c>
      <c r="P28" s="13" t="str">
        <f t="shared" ref="P28" si="42">IF(ISNUMBER(SEARCH("Gift",AG28)),"Gift Box","")</f>
        <v/>
      </c>
      <c r="Q28" s="36"/>
      <c r="R28" s="36"/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13">
        <v>0</v>
      </c>
      <c r="Z28" s="22" t="str">
        <f t="shared" ref="Z28" si="43">IF(V28&gt;0,(V28*W28*X28)/1728,"")</f>
        <v/>
      </c>
      <c r="AA28" s="13">
        <v>15</v>
      </c>
      <c r="AB28" s="13">
        <v>6</v>
      </c>
      <c r="AC28" s="13">
        <v>0</v>
      </c>
      <c r="AD28" s="13">
        <f t="shared" ref="AD28" si="44">IF(AB28&gt;0,AB28*X28,"")</f>
        <v>0</v>
      </c>
      <c r="AE28" s="13" t="str">
        <f t="shared" ref="AE28" si="45">IF(Y28&gt;0,Y28*(AA28*AB28),"")</f>
        <v/>
      </c>
      <c r="AG28" s="28" t="str">
        <f>"6x750ml C"</f>
        <v>6x750ml C</v>
      </c>
    </row>
    <row r="29" spans="1:33" x14ac:dyDescent="0.25">
      <c r="A29" s="10" t="e">
        <f>IF(#REF!=0,"Hide","Show")</f>
        <v>#REF!</v>
      </c>
      <c r="B29" s="32" t="str">
        <f>"Lucien Le Moine"</f>
        <v>Lucien Le Moine</v>
      </c>
      <c r="C29" s="33" t="str">
        <f>"Chassagne-Montrachet 1er Cru Morgeot"</f>
        <v>Chassagne-Montrachet 1er Cru Morgeot</v>
      </c>
      <c r="D29" s="34">
        <v>6</v>
      </c>
      <c r="E29" s="34">
        <v>750</v>
      </c>
      <c r="F29" s="34" t="str">
        <f>"2014"</f>
        <v>2014</v>
      </c>
      <c r="G29" s="34" t="str">
        <f>"White"</f>
        <v>White</v>
      </c>
      <c r="H29" s="35" t="str">
        <f>"CHASSAGNE-MONTRACHET"</f>
        <v>CHASSAGNE-MONTRACHET</v>
      </c>
      <c r="I29" s="35" t="str">
        <f>"CHARDONNAY"</f>
        <v>CHARDONNAY</v>
      </c>
      <c r="J29" s="13" t="s">
        <v>75</v>
      </c>
      <c r="K29" s="13" t="s">
        <v>34</v>
      </c>
      <c r="L29" s="13" t="s">
        <v>34</v>
      </c>
      <c r="M29" s="13" t="s">
        <v>34</v>
      </c>
      <c r="N29" s="9">
        <v>13.5</v>
      </c>
      <c r="O29" s="13" t="str">
        <f t="shared" ref="O29:O30" si="46">IF(LEN(Q29)=12,"UPC",IF(LEN(Q29)&gt;12,"EAN",""))</f>
        <v/>
      </c>
      <c r="P29" s="13" t="str">
        <f t="shared" ref="P29:P30" si="47">IF(ISNUMBER(SEARCH("Gift",AG29)),"Gift Box","")</f>
        <v/>
      </c>
      <c r="Q29" s="36"/>
      <c r="R29" s="36"/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13">
        <v>0</v>
      </c>
      <c r="Z29" s="22" t="str">
        <f t="shared" ref="Z29:Z30" si="48">IF(V29&gt;0,(V29*W29*X29)/1728,"")</f>
        <v/>
      </c>
      <c r="AA29" s="13">
        <v>15</v>
      </c>
      <c r="AB29" s="13">
        <v>6</v>
      </c>
      <c r="AC29" s="13">
        <v>0</v>
      </c>
      <c r="AD29" s="13">
        <f t="shared" ref="AD29:AD30" si="49">IF(AB29&gt;0,AB29*X29,"")</f>
        <v>0</v>
      </c>
      <c r="AE29" s="13" t="str">
        <f t="shared" ref="AE29:AE30" si="50">IF(Y29&gt;0,Y29*(AA29*AB29),"")</f>
        <v/>
      </c>
      <c r="AG29" s="28" t="str">
        <f>"6x750ml C"</f>
        <v>6x750ml C</v>
      </c>
    </row>
    <row r="30" spans="1:33" x14ac:dyDescent="0.25">
      <c r="A30" s="10" t="e">
        <f>IF(#REF!=0,"Hide","Show")</f>
        <v>#REF!</v>
      </c>
      <c r="B30" s="32" t="str">
        <f>"Lucien Le Moine"</f>
        <v>Lucien Le Moine</v>
      </c>
      <c r="C30" s="33" t="str">
        <f>"Chassagne-Montrachet 1er Cru Morgeot"</f>
        <v>Chassagne-Montrachet 1er Cru Morgeot</v>
      </c>
      <c r="D30" s="34">
        <v>6</v>
      </c>
      <c r="E30" s="34">
        <v>750</v>
      </c>
      <c r="F30" s="34" t="str">
        <f>"2015"</f>
        <v>2015</v>
      </c>
      <c r="G30" s="34" t="str">
        <f>"White"</f>
        <v>White</v>
      </c>
      <c r="H30" s="35" t="str">
        <f>"CHASSAGNE-MONTRACHET"</f>
        <v>CHASSAGNE-MONTRACHET</v>
      </c>
      <c r="I30" s="35" t="str">
        <f>"CHARDONNAY"</f>
        <v>CHARDONNAY</v>
      </c>
      <c r="J30" s="13" t="s">
        <v>75</v>
      </c>
      <c r="K30" s="13" t="s">
        <v>34</v>
      </c>
      <c r="L30" s="13" t="s">
        <v>34</v>
      </c>
      <c r="M30" s="13" t="s">
        <v>34</v>
      </c>
      <c r="N30" s="9">
        <v>13.5</v>
      </c>
      <c r="O30" s="13" t="str">
        <f t="shared" si="46"/>
        <v/>
      </c>
      <c r="P30" s="13" t="str">
        <f t="shared" si="47"/>
        <v/>
      </c>
      <c r="Q30" s="36"/>
      <c r="R30" s="36"/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13">
        <v>0</v>
      </c>
      <c r="Z30" s="22" t="str">
        <f t="shared" si="48"/>
        <v/>
      </c>
      <c r="AA30" s="13">
        <v>15</v>
      </c>
      <c r="AB30" s="13">
        <v>6</v>
      </c>
      <c r="AC30" s="13">
        <v>0</v>
      </c>
      <c r="AD30" s="13">
        <f t="shared" si="49"/>
        <v>0</v>
      </c>
      <c r="AE30" s="13" t="str">
        <f t="shared" si="50"/>
        <v/>
      </c>
      <c r="AG30" s="28" t="str">
        <f>"6x750ml C"</f>
        <v>6x750ml C</v>
      </c>
    </row>
    <row r="31" spans="1:33" x14ac:dyDescent="0.25">
      <c r="A31" s="10" t="e">
        <f>IF(#REF!=0,"Hide","Show")</f>
        <v>#REF!</v>
      </c>
      <c r="B31" s="32" t="s">
        <v>71</v>
      </c>
      <c r="C31" s="33" t="s">
        <v>156</v>
      </c>
      <c r="D31" s="34">
        <v>6</v>
      </c>
      <c r="E31" s="34">
        <v>750</v>
      </c>
      <c r="F31" s="34" t="s">
        <v>87</v>
      </c>
      <c r="G31" s="34" t="s">
        <v>137</v>
      </c>
      <c r="H31" s="35" t="s">
        <v>154</v>
      </c>
      <c r="I31" s="35" t="s">
        <v>134</v>
      </c>
      <c r="J31" s="13" t="s">
        <v>75</v>
      </c>
      <c r="K31" s="13" t="s">
        <v>34</v>
      </c>
      <c r="L31" s="13" t="s">
        <v>34</v>
      </c>
      <c r="M31" s="13" t="s">
        <v>34</v>
      </c>
      <c r="N31" s="9">
        <v>13.5</v>
      </c>
      <c r="O31" s="13" t="str">
        <f t="shared" ref="O31:O61" si="51">IF(LEN(Q31)=12,"UPC",IF(LEN(Q31)&gt;12,"EAN",""))</f>
        <v/>
      </c>
      <c r="P31" s="13" t="str">
        <f t="shared" ref="P31:P61" si="52">IF(ISNUMBER(SEARCH("Gift",AG31)),"Gift Box","")</f>
        <v/>
      </c>
      <c r="Q31" s="36" t="s">
        <v>91</v>
      </c>
      <c r="R31" s="36" t="s">
        <v>22</v>
      </c>
      <c r="S31" s="22">
        <v>0</v>
      </c>
      <c r="T31" s="22">
        <v>0</v>
      </c>
      <c r="U31" s="22">
        <v>3.33</v>
      </c>
      <c r="V31" s="22">
        <v>13</v>
      </c>
      <c r="W31" s="22">
        <v>10</v>
      </c>
      <c r="X31" s="22">
        <v>8</v>
      </c>
      <c r="Y31" s="13">
        <v>20</v>
      </c>
      <c r="Z31" s="22">
        <f t="shared" ref="Z31:Z61" si="53">IF(V31&gt;0,(V31*W31*X31)/1728,"")</f>
        <v>0.60185185185185186</v>
      </c>
      <c r="AA31" s="13">
        <v>15</v>
      </c>
      <c r="AB31" s="13">
        <v>6</v>
      </c>
      <c r="AC31" s="13">
        <v>90</v>
      </c>
      <c r="AD31" s="13">
        <f t="shared" ref="AD31:AD61" si="54">IF(AB31&gt;0,AB31*X31,"")</f>
        <v>48</v>
      </c>
      <c r="AE31" s="13">
        <f t="shared" ref="AE31:AE61" si="55">IF(Y31&gt;0,Y31*(AA31*AB31),"")</f>
        <v>1800</v>
      </c>
      <c r="AG31" s="28" t="s">
        <v>73</v>
      </c>
    </row>
    <row r="32" spans="1:33" x14ac:dyDescent="0.25">
      <c r="A32" s="10" t="e">
        <f>IF(#REF!=0,"Hide","Show")</f>
        <v>#REF!</v>
      </c>
      <c r="B32" s="32" t="str">
        <f t="shared" ref="B32:B43" si="56">"Lucien Le Moine"</f>
        <v>Lucien Le Moine</v>
      </c>
      <c r="C32" s="33" t="str">
        <f>"Chassagne-Montrachet 1er Cru Les Embrazees"</f>
        <v>Chassagne-Montrachet 1er Cru Les Embrazees</v>
      </c>
      <c r="D32" s="34">
        <v>6</v>
      </c>
      <c r="E32" s="34">
        <v>750</v>
      </c>
      <c r="F32" s="34" t="str">
        <f>"2011"</f>
        <v>2011</v>
      </c>
      <c r="G32" s="34" t="str">
        <f t="shared" ref="G32:G43" si="57">"White"</f>
        <v>White</v>
      </c>
      <c r="H32" s="35" t="str">
        <f t="shared" ref="H32:H43" si="58">"CHASSAGNE-MONTRACHET"</f>
        <v>CHASSAGNE-MONTRACHET</v>
      </c>
      <c r="I32" s="35" t="str">
        <f t="shared" ref="I32:I43" si="59">"CHARDONNAY"</f>
        <v>CHARDONNAY</v>
      </c>
      <c r="J32" s="13" t="s">
        <v>75</v>
      </c>
      <c r="K32" s="13" t="s">
        <v>34</v>
      </c>
      <c r="L32" s="13" t="s">
        <v>34</v>
      </c>
      <c r="M32" s="13" t="s">
        <v>34</v>
      </c>
      <c r="N32" s="9">
        <v>13.5</v>
      </c>
      <c r="O32" s="13" t="str">
        <f t="shared" si="51"/>
        <v/>
      </c>
      <c r="P32" s="13" t="str">
        <f t="shared" si="52"/>
        <v/>
      </c>
      <c r="Q32" s="36" t="str">
        <f t="shared" ref="Q32:Q43" si="60">"NO UPC"</f>
        <v>NO UPC</v>
      </c>
      <c r="R32" s="36"/>
      <c r="S32" s="22">
        <v>0</v>
      </c>
      <c r="T32" s="22">
        <v>0</v>
      </c>
      <c r="U32" s="22">
        <v>3.33</v>
      </c>
      <c r="V32" s="22">
        <v>13</v>
      </c>
      <c r="W32" s="22">
        <v>10</v>
      </c>
      <c r="X32" s="22">
        <v>8</v>
      </c>
      <c r="Y32" s="13">
        <v>20</v>
      </c>
      <c r="Z32" s="22">
        <f t="shared" si="53"/>
        <v>0.60185185185185186</v>
      </c>
      <c r="AA32" s="13">
        <v>15</v>
      </c>
      <c r="AB32" s="13">
        <v>6</v>
      </c>
      <c r="AC32" s="13">
        <v>90</v>
      </c>
      <c r="AD32" s="13">
        <f t="shared" si="54"/>
        <v>48</v>
      </c>
      <c r="AE32" s="13">
        <f t="shared" si="55"/>
        <v>1800</v>
      </c>
      <c r="AG32" s="28" t="str">
        <f t="shared" ref="AG32:AG43" si="61">"6x750ml C"</f>
        <v>6x750ml C</v>
      </c>
    </row>
    <row r="33" spans="1:33" x14ac:dyDescent="0.25">
      <c r="A33" s="10" t="e">
        <f>IF(#REF!=0,"Hide","Show")</f>
        <v>#REF!</v>
      </c>
      <c r="B33" s="32" t="str">
        <f t="shared" si="56"/>
        <v>Lucien Le Moine</v>
      </c>
      <c r="C33" s="33" t="str">
        <f>"Chassagne-Montrachet 1er Cru Les Embrazees"</f>
        <v>Chassagne-Montrachet 1er Cru Les Embrazees</v>
      </c>
      <c r="D33" s="34">
        <v>6</v>
      </c>
      <c r="E33" s="34">
        <v>750</v>
      </c>
      <c r="F33" s="34" t="str">
        <f>"2013"</f>
        <v>2013</v>
      </c>
      <c r="G33" s="34" t="str">
        <f t="shared" si="57"/>
        <v>White</v>
      </c>
      <c r="H33" s="35" t="str">
        <f t="shared" si="58"/>
        <v>CHASSAGNE-MONTRACHET</v>
      </c>
      <c r="I33" s="35" t="str">
        <f t="shared" si="59"/>
        <v>CHARDONNAY</v>
      </c>
      <c r="J33" s="13" t="s">
        <v>75</v>
      </c>
      <c r="K33" s="13" t="s">
        <v>34</v>
      </c>
      <c r="L33" s="13" t="s">
        <v>34</v>
      </c>
      <c r="M33" s="13" t="s">
        <v>34</v>
      </c>
      <c r="N33" s="9">
        <v>13.5</v>
      </c>
      <c r="O33" s="13" t="str">
        <f t="shared" ref="O33:O35" si="62">IF(LEN(Q33)=12,"UPC",IF(LEN(Q33)&gt;12,"EAN",""))</f>
        <v/>
      </c>
      <c r="P33" s="13" t="str">
        <f t="shared" ref="P33:P35" si="63">IF(ISNUMBER(SEARCH("Gift",AG33)),"Gift Box","")</f>
        <v/>
      </c>
      <c r="Q33" s="36" t="str">
        <f t="shared" si="60"/>
        <v>NO UPC</v>
      </c>
      <c r="R33" s="36"/>
      <c r="S33" s="22">
        <v>0</v>
      </c>
      <c r="T33" s="22">
        <v>0</v>
      </c>
      <c r="U33" s="22">
        <v>3.33</v>
      </c>
      <c r="V33" s="22">
        <v>13</v>
      </c>
      <c r="W33" s="22">
        <v>10</v>
      </c>
      <c r="X33" s="22">
        <v>8</v>
      </c>
      <c r="Y33" s="13">
        <v>20</v>
      </c>
      <c r="Z33" s="22">
        <f t="shared" ref="Z33:Z35" si="64">IF(V33&gt;0,(V33*W33*X33)/1728,"")</f>
        <v>0.60185185185185186</v>
      </c>
      <c r="AA33" s="13">
        <v>15</v>
      </c>
      <c r="AB33" s="13">
        <v>6</v>
      </c>
      <c r="AC33" s="13">
        <v>90</v>
      </c>
      <c r="AD33" s="13">
        <f t="shared" ref="AD33:AD35" si="65">IF(AB33&gt;0,AB33*X33,"")</f>
        <v>48</v>
      </c>
      <c r="AE33" s="13">
        <f t="shared" ref="AE33:AE35" si="66">IF(Y33&gt;0,Y33*(AA33*AB33),"")</f>
        <v>1800</v>
      </c>
      <c r="AG33" s="28" t="str">
        <f t="shared" si="61"/>
        <v>6x750ml C</v>
      </c>
    </row>
    <row r="34" spans="1:33" x14ac:dyDescent="0.25">
      <c r="A34" s="10" t="e">
        <f>IF(#REF!=0,"Hide","Show")</f>
        <v>#REF!</v>
      </c>
      <c r="B34" s="32" t="str">
        <f t="shared" si="56"/>
        <v>Lucien Le Moine</v>
      </c>
      <c r="C34" s="33" t="str">
        <f>"Chassagne-Montrachet 1er Cru Les Embrazees"</f>
        <v>Chassagne-Montrachet 1er Cru Les Embrazees</v>
      </c>
      <c r="D34" s="34">
        <v>6</v>
      </c>
      <c r="E34" s="34">
        <v>750</v>
      </c>
      <c r="F34" s="34" t="str">
        <f>"2014"</f>
        <v>2014</v>
      </c>
      <c r="G34" s="34" t="str">
        <f t="shared" si="57"/>
        <v>White</v>
      </c>
      <c r="H34" s="35" t="str">
        <f t="shared" si="58"/>
        <v>CHASSAGNE-MONTRACHET</v>
      </c>
      <c r="I34" s="35" t="str">
        <f t="shared" si="59"/>
        <v>CHARDONNAY</v>
      </c>
      <c r="J34" s="13" t="s">
        <v>75</v>
      </c>
      <c r="K34" s="13" t="s">
        <v>34</v>
      </c>
      <c r="L34" s="13" t="s">
        <v>34</v>
      </c>
      <c r="M34" s="13" t="s">
        <v>34</v>
      </c>
      <c r="N34" s="9">
        <v>14</v>
      </c>
      <c r="O34" s="13" t="str">
        <f t="shared" si="62"/>
        <v/>
      </c>
      <c r="P34" s="13" t="str">
        <f t="shared" si="63"/>
        <v/>
      </c>
      <c r="Q34" s="36" t="str">
        <f t="shared" si="60"/>
        <v>NO UPC</v>
      </c>
      <c r="R34" s="36"/>
      <c r="S34" s="22">
        <v>0</v>
      </c>
      <c r="T34" s="22">
        <v>0</v>
      </c>
      <c r="U34" s="22">
        <v>3.33</v>
      </c>
      <c r="V34" s="22">
        <v>13</v>
      </c>
      <c r="W34" s="22">
        <v>10</v>
      </c>
      <c r="X34" s="22">
        <v>8</v>
      </c>
      <c r="Y34" s="13">
        <v>20</v>
      </c>
      <c r="Z34" s="22">
        <f t="shared" si="64"/>
        <v>0.60185185185185186</v>
      </c>
      <c r="AA34" s="13">
        <v>15</v>
      </c>
      <c r="AB34" s="13">
        <v>6</v>
      </c>
      <c r="AC34" s="13">
        <v>90</v>
      </c>
      <c r="AD34" s="13">
        <f t="shared" si="65"/>
        <v>48</v>
      </c>
      <c r="AE34" s="13">
        <f t="shared" si="66"/>
        <v>1800</v>
      </c>
      <c r="AG34" s="28" t="str">
        <f t="shared" si="61"/>
        <v>6x750ml C</v>
      </c>
    </row>
    <row r="35" spans="1:33" x14ac:dyDescent="0.25">
      <c r="A35" s="10" t="e">
        <f>IF(#REF!=0,"Hide","Show")</f>
        <v>#REF!</v>
      </c>
      <c r="B35" s="32" t="str">
        <f t="shared" si="56"/>
        <v>Lucien Le Moine</v>
      </c>
      <c r="C35" s="33" t="str">
        <f>"Chassagne-Montrachet 1er Cru Les Embrazees"</f>
        <v>Chassagne-Montrachet 1er Cru Les Embrazees</v>
      </c>
      <c r="D35" s="34">
        <v>6</v>
      </c>
      <c r="E35" s="34">
        <v>750</v>
      </c>
      <c r="F35" s="34" t="str">
        <f>"2015"</f>
        <v>2015</v>
      </c>
      <c r="G35" s="34" t="str">
        <f t="shared" si="57"/>
        <v>White</v>
      </c>
      <c r="H35" s="35" t="str">
        <f t="shared" si="58"/>
        <v>CHASSAGNE-MONTRACHET</v>
      </c>
      <c r="I35" s="35" t="str">
        <f t="shared" si="59"/>
        <v>CHARDONNAY</v>
      </c>
      <c r="J35" s="13" t="s">
        <v>75</v>
      </c>
      <c r="K35" s="13" t="s">
        <v>34</v>
      </c>
      <c r="L35" s="13" t="s">
        <v>34</v>
      </c>
      <c r="M35" s="13" t="s">
        <v>34</v>
      </c>
      <c r="N35" s="9">
        <v>14</v>
      </c>
      <c r="O35" s="13" t="str">
        <f t="shared" si="62"/>
        <v/>
      </c>
      <c r="P35" s="13" t="str">
        <f t="shared" si="63"/>
        <v/>
      </c>
      <c r="Q35" s="36" t="str">
        <f t="shared" si="60"/>
        <v>NO UPC</v>
      </c>
      <c r="R35" s="36"/>
      <c r="S35" s="22">
        <v>0</v>
      </c>
      <c r="T35" s="22">
        <v>0</v>
      </c>
      <c r="U35" s="22">
        <v>3.33</v>
      </c>
      <c r="V35" s="22">
        <v>13</v>
      </c>
      <c r="W35" s="22">
        <v>10</v>
      </c>
      <c r="X35" s="22">
        <v>8</v>
      </c>
      <c r="Y35" s="13">
        <v>20</v>
      </c>
      <c r="Z35" s="22">
        <f t="shared" si="64"/>
        <v>0.60185185185185186</v>
      </c>
      <c r="AA35" s="13">
        <v>15</v>
      </c>
      <c r="AB35" s="13">
        <v>6</v>
      </c>
      <c r="AC35" s="13">
        <v>90</v>
      </c>
      <c r="AD35" s="13">
        <f t="shared" si="65"/>
        <v>48</v>
      </c>
      <c r="AE35" s="13">
        <f t="shared" si="66"/>
        <v>1800</v>
      </c>
      <c r="AG35" s="28" t="str">
        <f t="shared" si="61"/>
        <v>6x750ml C</v>
      </c>
    </row>
    <row r="36" spans="1:33" x14ac:dyDescent="0.25">
      <c r="A36" s="10" t="e">
        <f>IF(#REF!=0,"Hide","Show")</f>
        <v>#REF!</v>
      </c>
      <c r="B36" s="32" t="str">
        <f t="shared" si="56"/>
        <v>Lucien Le Moine</v>
      </c>
      <c r="C36" s="33" t="str">
        <f>"Chassagne-Montrachet 1er Cru Grande Montagne"</f>
        <v>Chassagne-Montrachet 1er Cru Grande Montagne</v>
      </c>
      <c r="D36" s="34">
        <v>6</v>
      </c>
      <c r="E36" s="34">
        <v>750</v>
      </c>
      <c r="F36" s="34" t="str">
        <f>"2011"</f>
        <v>2011</v>
      </c>
      <c r="G36" s="34" t="str">
        <f t="shared" si="57"/>
        <v>White</v>
      </c>
      <c r="H36" s="35" t="str">
        <f t="shared" si="58"/>
        <v>CHASSAGNE-MONTRACHET</v>
      </c>
      <c r="I36" s="35" t="str">
        <f t="shared" si="59"/>
        <v>CHARDONNAY</v>
      </c>
      <c r="J36" s="13" t="s">
        <v>75</v>
      </c>
      <c r="K36" s="13" t="s">
        <v>34</v>
      </c>
      <c r="L36" s="13" t="s">
        <v>34</v>
      </c>
      <c r="M36" s="13" t="s">
        <v>34</v>
      </c>
      <c r="N36" s="9">
        <v>13.5</v>
      </c>
      <c r="O36" s="13" t="str">
        <f t="shared" si="51"/>
        <v/>
      </c>
      <c r="P36" s="13" t="str">
        <f t="shared" si="52"/>
        <v/>
      </c>
      <c r="Q36" s="36" t="str">
        <f t="shared" si="60"/>
        <v>NO UPC</v>
      </c>
      <c r="R36" s="36"/>
      <c r="S36" s="22">
        <v>0</v>
      </c>
      <c r="T36" s="22">
        <v>0</v>
      </c>
      <c r="U36" s="22">
        <v>3.33</v>
      </c>
      <c r="V36" s="22">
        <v>13</v>
      </c>
      <c r="W36" s="22">
        <v>10</v>
      </c>
      <c r="X36" s="22">
        <v>8</v>
      </c>
      <c r="Y36" s="13">
        <v>20</v>
      </c>
      <c r="Z36" s="22">
        <f t="shared" si="53"/>
        <v>0.60185185185185186</v>
      </c>
      <c r="AA36" s="13">
        <v>15</v>
      </c>
      <c r="AB36" s="13">
        <v>6</v>
      </c>
      <c r="AC36" s="13">
        <v>90</v>
      </c>
      <c r="AD36" s="13">
        <f t="shared" si="54"/>
        <v>48</v>
      </c>
      <c r="AE36" s="13">
        <f t="shared" si="55"/>
        <v>1800</v>
      </c>
      <c r="AG36" s="28" t="str">
        <f t="shared" si="61"/>
        <v>6x750ml C</v>
      </c>
    </row>
    <row r="37" spans="1:33" x14ac:dyDescent="0.25">
      <c r="A37" s="10" t="e">
        <f>IF(#REF!=0,"Hide","Show")</f>
        <v>#REF!</v>
      </c>
      <c r="B37" s="32" t="str">
        <f t="shared" si="56"/>
        <v>Lucien Le Moine</v>
      </c>
      <c r="C37" s="33" t="str">
        <f>"Chassagne-Montrachet 1er Cru Grande Montagne"</f>
        <v>Chassagne-Montrachet 1er Cru Grande Montagne</v>
      </c>
      <c r="D37" s="34">
        <v>6</v>
      </c>
      <c r="E37" s="34">
        <v>750</v>
      </c>
      <c r="F37" s="34" t="str">
        <f>"2012"</f>
        <v>2012</v>
      </c>
      <c r="G37" s="34" t="str">
        <f t="shared" si="57"/>
        <v>White</v>
      </c>
      <c r="H37" s="35" t="str">
        <f t="shared" si="58"/>
        <v>CHASSAGNE-MONTRACHET</v>
      </c>
      <c r="I37" s="35" t="str">
        <f t="shared" si="59"/>
        <v>CHARDONNAY</v>
      </c>
      <c r="J37" s="13" t="s">
        <v>75</v>
      </c>
      <c r="K37" s="13" t="s">
        <v>34</v>
      </c>
      <c r="L37" s="13" t="s">
        <v>34</v>
      </c>
      <c r="M37" s="13" t="s">
        <v>34</v>
      </c>
      <c r="N37" s="9">
        <v>13.5</v>
      </c>
      <c r="O37" s="13" t="str">
        <f t="shared" ref="O37:O39" si="67">IF(LEN(Q37)=12,"UPC",IF(LEN(Q37)&gt;12,"EAN",""))</f>
        <v/>
      </c>
      <c r="P37" s="13" t="str">
        <f t="shared" ref="P37:P39" si="68">IF(ISNUMBER(SEARCH("Gift",AG37)),"Gift Box","")</f>
        <v/>
      </c>
      <c r="Q37" s="36" t="str">
        <f t="shared" si="60"/>
        <v>NO UPC</v>
      </c>
      <c r="R37" s="36"/>
      <c r="S37" s="22">
        <v>0</v>
      </c>
      <c r="T37" s="22">
        <v>0</v>
      </c>
      <c r="U37" s="22">
        <v>3.33</v>
      </c>
      <c r="V37" s="22">
        <v>13</v>
      </c>
      <c r="W37" s="22">
        <v>10</v>
      </c>
      <c r="X37" s="22">
        <v>8</v>
      </c>
      <c r="Y37" s="13">
        <v>20</v>
      </c>
      <c r="Z37" s="22">
        <f t="shared" ref="Z37:Z39" si="69">IF(V37&gt;0,(V37*W37*X37)/1728,"")</f>
        <v>0.60185185185185186</v>
      </c>
      <c r="AA37" s="13">
        <v>15</v>
      </c>
      <c r="AB37" s="13">
        <v>6</v>
      </c>
      <c r="AC37" s="13">
        <v>90</v>
      </c>
      <c r="AD37" s="13">
        <f t="shared" ref="AD37:AD39" si="70">IF(AB37&gt;0,AB37*X37,"")</f>
        <v>48</v>
      </c>
      <c r="AE37" s="13">
        <f t="shared" ref="AE37:AE39" si="71">IF(Y37&gt;0,Y37*(AA37*AB37),"")</f>
        <v>1800</v>
      </c>
      <c r="AG37" s="28" t="str">
        <f t="shared" si="61"/>
        <v>6x750ml C</v>
      </c>
    </row>
    <row r="38" spans="1:33" x14ac:dyDescent="0.25">
      <c r="A38" s="10" t="e">
        <f>IF(#REF!=0,"Hide","Show")</f>
        <v>#REF!</v>
      </c>
      <c r="B38" s="32" t="str">
        <f t="shared" si="56"/>
        <v>Lucien Le Moine</v>
      </c>
      <c r="C38" s="33" t="str">
        <f>"Chassagne-Montrachet 1er Cru Grande Montagne"</f>
        <v>Chassagne-Montrachet 1er Cru Grande Montagne</v>
      </c>
      <c r="D38" s="34">
        <v>6</v>
      </c>
      <c r="E38" s="34">
        <v>750</v>
      </c>
      <c r="F38" s="34" t="str">
        <f>"2013"</f>
        <v>2013</v>
      </c>
      <c r="G38" s="34" t="str">
        <f t="shared" si="57"/>
        <v>White</v>
      </c>
      <c r="H38" s="35" t="str">
        <f t="shared" si="58"/>
        <v>CHASSAGNE-MONTRACHET</v>
      </c>
      <c r="I38" s="35" t="str">
        <f t="shared" si="59"/>
        <v>CHARDONNAY</v>
      </c>
      <c r="J38" s="13" t="s">
        <v>75</v>
      </c>
      <c r="K38" s="13" t="s">
        <v>34</v>
      </c>
      <c r="L38" s="13" t="s">
        <v>34</v>
      </c>
      <c r="M38" s="13" t="s">
        <v>34</v>
      </c>
      <c r="N38" s="9">
        <v>13.5</v>
      </c>
      <c r="O38" s="13" t="str">
        <f t="shared" si="67"/>
        <v/>
      </c>
      <c r="P38" s="13" t="str">
        <f t="shared" si="68"/>
        <v/>
      </c>
      <c r="Q38" s="36" t="str">
        <f t="shared" si="60"/>
        <v>NO UPC</v>
      </c>
      <c r="R38" s="36"/>
      <c r="S38" s="22">
        <v>0</v>
      </c>
      <c r="T38" s="22">
        <v>0</v>
      </c>
      <c r="U38" s="22">
        <v>3.33</v>
      </c>
      <c r="V38" s="22">
        <v>13</v>
      </c>
      <c r="W38" s="22">
        <v>10</v>
      </c>
      <c r="X38" s="22">
        <v>8</v>
      </c>
      <c r="Y38" s="13">
        <v>20</v>
      </c>
      <c r="Z38" s="22">
        <f t="shared" si="69"/>
        <v>0.60185185185185186</v>
      </c>
      <c r="AA38" s="13">
        <v>15</v>
      </c>
      <c r="AB38" s="13">
        <v>6</v>
      </c>
      <c r="AC38" s="13">
        <v>90</v>
      </c>
      <c r="AD38" s="13">
        <f t="shared" si="70"/>
        <v>48</v>
      </c>
      <c r="AE38" s="13">
        <f t="shared" si="71"/>
        <v>1800</v>
      </c>
      <c r="AG38" s="28" t="str">
        <f t="shared" si="61"/>
        <v>6x750ml C</v>
      </c>
    </row>
    <row r="39" spans="1:33" x14ac:dyDescent="0.25">
      <c r="A39" s="10" t="e">
        <f>IF(#REF!=0,"Hide","Show")</f>
        <v>#REF!</v>
      </c>
      <c r="B39" s="32" t="str">
        <f t="shared" si="56"/>
        <v>Lucien Le Moine</v>
      </c>
      <c r="C39" s="33" t="str">
        <f>"Chassagne-Montrachet 1er Cru Grande Montagne"</f>
        <v>Chassagne-Montrachet 1er Cru Grande Montagne</v>
      </c>
      <c r="D39" s="34">
        <v>6</v>
      </c>
      <c r="E39" s="34">
        <v>750</v>
      </c>
      <c r="F39" s="34" t="str">
        <f>"2015"</f>
        <v>2015</v>
      </c>
      <c r="G39" s="34" t="str">
        <f t="shared" si="57"/>
        <v>White</v>
      </c>
      <c r="H39" s="35" t="str">
        <f t="shared" si="58"/>
        <v>CHASSAGNE-MONTRACHET</v>
      </c>
      <c r="I39" s="35" t="str">
        <f t="shared" si="59"/>
        <v>CHARDONNAY</v>
      </c>
      <c r="J39" s="13" t="s">
        <v>75</v>
      </c>
      <c r="K39" s="13" t="s">
        <v>34</v>
      </c>
      <c r="L39" s="13" t="s">
        <v>34</v>
      </c>
      <c r="M39" s="13" t="s">
        <v>34</v>
      </c>
      <c r="N39" s="9">
        <v>14</v>
      </c>
      <c r="O39" s="13" t="str">
        <f t="shared" si="67"/>
        <v/>
      </c>
      <c r="P39" s="13" t="str">
        <f t="shared" si="68"/>
        <v/>
      </c>
      <c r="Q39" s="36" t="str">
        <f t="shared" si="60"/>
        <v>NO UPC</v>
      </c>
      <c r="R39" s="36"/>
      <c r="S39" s="22">
        <v>0</v>
      </c>
      <c r="T39" s="22">
        <v>0</v>
      </c>
      <c r="U39" s="22">
        <v>3.33</v>
      </c>
      <c r="V39" s="22">
        <v>13</v>
      </c>
      <c r="W39" s="22">
        <v>10</v>
      </c>
      <c r="X39" s="22">
        <v>8</v>
      </c>
      <c r="Y39" s="13">
        <v>20</v>
      </c>
      <c r="Z39" s="22">
        <f t="shared" si="69"/>
        <v>0.60185185185185186</v>
      </c>
      <c r="AA39" s="13">
        <v>15</v>
      </c>
      <c r="AB39" s="13">
        <v>6</v>
      </c>
      <c r="AC39" s="13">
        <v>90</v>
      </c>
      <c r="AD39" s="13">
        <f t="shared" si="70"/>
        <v>48</v>
      </c>
      <c r="AE39" s="13">
        <f t="shared" si="71"/>
        <v>1800</v>
      </c>
      <c r="AG39" s="28" t="str">
        <f t="shared" si="61"/>
        <v>6x750ml C</v>
      </c>
    </row>
    <row r="40" spans="1:33" x14ac:dyDescent="0.25">
      <c r="A40" s="10" t="e">
        <f>IF(#REF!=0,"Hide","Show")</f>
        <v>#REF!</v>
      </c>
      <c r="B40" s="32" t="str">
        <f t="shared" si="56"/>
        <v>Lucien Le Moine</v>
      </c>
      <c r="C40" s="33" t="str">
        <f>"Chassagne-Montrachet 1er Cru Abbaye de Morgeot"</f>
        <v>Chassagne-Montrachet 1er Cru Abbaye de Morgeot</v>
      </c>
      <c r="D40" s="34">
        <v>6</v>
      </c>
      <c r="E40" s="34">
        <v>750</v>
      </c>
      <c r="F40" s="34" t="str">
        <f>"2011"</f>
        <v>2011</v>
      </c>
      <c r="G40" s="34" t="str">
        <f t="shared" si="57"/>
        <v>White</v>
      </c>
      <c r="H40" s="35" t="str">
        <f t="shared" si="58"/>
        <v>CHASSAGNE-MONTRACHET</v>
      </c>
      <c r="I40" s="35" t="str">
        <f t="shared" si="59"/>
        <v>CHARDONNAY</v>
      </c>
      <c r="J40" s="13" t="s">
        <v>75</v>
      </c>
      <c r="K40" s="13" t="s">
        <v>34</v>
      </c>
      <c r="L40" s="13" t="s">
        <v>34</v>
      </c>
      <c r="M40" s="13" t="s">
        <v>34</v>
      </c>
      <c r="N40" s="9">
        <v>13.5</v>
      </c>
      <c r="O40" s="13" t="str">
        <f t="shared" si="51"/>
        <v/>
      </c>
      <c r="P40" s="13" t="str">
        <f t="shared" si="52"/>
        <v/>
      </c>
      <c r="Q40" s="36" t="str">
        <f t="shared" si="60"/>
        <v>NO UPC</v>
      </c>
      <c r="R40" s="36"/>
      <c r="S40" s="22">
        <v>0</v>
      </c>
      <c r="T40" s="22">
        <v>0</v>
      </c>
      <c r="U40" s="22">
        <v>3.33</v>
      </c>
      <c r="V40" s="22">
        <v>13</v>
      </c>
      <c r="W40" s="22">
        <v>10</v>
      </c>
      <c r="X40" s="22">
        <v>8</v>
      </c>
      <c r="Y40" s="13">
        <v>20</v>
      </c>
      <c r="Z40" s="22">
        <f t="shared" si="53"/>
        <v>0.60185185185185186</v>
      </c>
      <c r="AA40" s="13">
        <v>15</v>
      </c>
      <c r="AB40" s="13">
        <v>6</v>
      </c>
      <c r="AC40" s="13">
        <v>90</v>
      </c>
      <c r="AD40" s="13">
        <f t="shared" si="54"/>
        <v>48</v>
      </c>
      <c r="AE40" s="13">
        <f t="shared" si="55"/>
        <v>1800</v>
      </c>
      <c r="AG40" s="28" t="str">
        <f t="shared" si="61"/>
        <v>6x750ml C</v>
      </c>
    </row>
    <row r="41" spans="1:33" x14ac:dyDescent="0.25">
      <c r="A41" s="10" t="e">
        <f>IF(#REF!=0,"Hide","Show")</f>
        <v>#REF!</v>
      </c>
      <c r="B41" s="32" t="str">
        <f t="shared" si="56"/>
        <v>Lucien Le Moine</v>
      </c>
      <c r="C41" s="33" t="str">
        <f>"Chassagne-Montrachet 1er Cru Abbaye de Morgeot"</f>
        <v>Chassagne-Montrachet 1er Cru Abbaye de Morgeot</v>
      </c>
      <c r="D41" s="34">
        <v>6</v>
      </c>
      <c r="E41" s="34">
        <v>750</v>
      </c>
      <c r="F41" s="34" t="str">
        <f>"2012"</f>
        <v>2012</v>
      </c>
      <c r="G41" s="34" t="str">
        <f t="shared" si="57"/>
        <v>White</v>
      </c>
      <c r="H41" s="35" t="str">
        <f t="shared" si="58"/>
        <v>CHASSAGNE-MONTRACHET</v>
      </c>
      <c r="I41" s="35" t="str">
        <f t="shared" si="59"/>
        <v>CHARDONNAY</v>
      </c>
      <c r="J41" s="13" t="s">
        <v>75</v>
      </c>
      <c r="K41" s="13" t="s">
        <v>34</v>
      </c>
      <c r="L41" s="13" t="s">
        <v>34</v>
      </c>
      <c r="M41" s="13" t="s">
        <v>34</v>
      </c>
      <c r="N41" s="9">
        <v>14</v>
      </c>
      <c r="O41" s="13" t="str">
        <f t="shared" ref="O41:O43" si="72">IF(LEN(Q41)=12,"UPC",IF(LEN(Q41)&gt;12,"EAN",""))</f>
        <v/>
      </c>
      <c r="P41" s="13" t="str">
        <f t="shared" ref="P41:P43" si="73">IF(ISNUMBER(SEARCH("Gift",AG41)),"Gift Box","")</f>
        <v/>
      </c>
      <c r="Q41" s="36" t="str">
        <f t="shared" si="60"/>
        <v>NO UPC</v>
      </c>
      <c r="R41" s="36"/>
      <c r="S41" s="22">
        <v>0</v>
      </c>
      <c r="T41" s="22">
        <v>0</v>
      </c>
      <c r="U41" s="22">
        <v>3.33</v>
      </c>
      <c r="V41" s="22">
        <v>13</v>
      </c>
      <c r="W41" s="22">
        <v>10</v>
      </c>
      <c r="X41" s="22">
        <v>8</v>
      </c>
      <c r="Y41" s="13">
        <v>20</v>
      </c>
      <c r="Z41" s="22">
        <f t="shared" ref="Z41:Z43" si="74">IF(V41&gt;0,(V41*W41*X41)/1728,"")</f>
        <v>0.60185185185185186</v>
      </c>
      <c r="AA41" s="13">
        <v>15</v>
      </c>
      <c r="AB41" s="13">
        <v>6</v>
      </c>
      <c r="AC41" s="13">
        <v>90</v>
      </c>
      <c r="AD41" s="13">
        <f t="shared" ref="AD41:AD43" si="75">IF(AB41&gt;0,AB41*X41,"")</f>
        <v>48</v>
      </c>
      <c r="AE41" s="13">
        <f t="shared" ref="AE41:AE43" si="76">IF(Y41&gt;0,Y41*(AA41*AB41),"")</f>
        <v>1800</v>
      </c>
      <c r="AG41" s="28" t="str">
        <f t="shared" si="61"/>
        <v>6x750ml C</v>
      </c>
    </row>
    <row r="42" spans="1:33" x14ac:dyDescent="0.25">
      <c r="A42" s="10" t="e">
        <f>IF(#REF!=0,"Hide","Show")</f>
        <v>#REF!</v>
      </c>
      <c r="B42" s="32" t="str">
        <f t="shared" si="56"/>
        <v>Lucien Le Moine</v>
      </c>
      <c r="C42" s="33" t="str">
        <f>"Chassagne-Montrachet 1er Cru Abbaye de Morgeot"</f>
        <v>Chassagne-Montrachet 1er Cru Abbaye de Morgeot</v>
      </c>
      <c r="D42" s="34">
        <v>6</v>
      </c>
      <c r="E42" s="34">
        <v>750</v>
      </c>
      <c r="F42" s="34" t="str">
        <f>"2013"</f>
        <v>2013</v>
      </c>
      <c r="G42" s="34" t="str">
        <f t="shared" si="57"/>
        <v>White</v>
      </c>
      <c r="H42" s="35" t="str">
        <f t="shared" si="58"/>
        <v>CHASSAGNE-MONTRACHET</v>
      </c>
      <c r="I42" s="35" t="str">
        <f t="shared" si="59"/>
        <v>CHARDONNAY</v>
      </c>
      <c r="J42" s="13" t="s">
        <v>75</v>
      </c>
      <c r="K42" s="13" t="s">
        <v>34</v>
      </c>
      <c r="L42" s="13" t="s">
        <v>34</v>
      </c>
      <c r="M42" s="13" t="s">
        <v>34</v>
      </c>
      <c r="N42" s="9">
        <v>13</v>
      </c>
      <c r="O42" s="13" t="str">
        <f t="shared" si="72"/>
        <v/>
      </c>
      <c r="P42" s="13" t="str">
        <f t="shared" si="73"/>
        <v/>
      </c>
      <c r="Q42" s="36" t="str">
        <f t="shared" si="60"/>
        <v>NO UPC</v>
      </c>
      <c r="R42" s="36"/>
      <c r="S42" s="22">
        <v>0</v>
      </c>
      <c r="T42" s="22">
        <v>0</v>
      </c>
      <c r="U42" s="22">
        <v>3.33</v>
      </c>
      <c r="V42" s="22">
        <v>13</v>
      </c>
      <c r="W42" s="22">
        <v>10</v>
      </c>
      <c r="X42" s="22">
        <v>8</v>
      </c>
      <c r="Y42" s="13">
        <v>20</v>
      </c>
      <c r="Z42" s="22">
        <f t="shared" si="74"/>
        <v>0.60185185185185186</v>
      </c>
      <c r="AA42" s="13">
        <v>15</v>
      </c>
      <c r="AB42" s="13">
        <v>6</v>
      </c>
      <c r="AC42" s="13">
        <v>90</v>
      </c>
      <c r="AD42" s="13">
        <f t="shared" si="75"/>
        <v>48</v>
      </c>
      <c r="AE42" s="13">
        <f t="shared" si="76"/>
        <v>1800</v>
      </c>
      <c r="AG42" s="28" t="str">
        <f t="shared" si="61"/>
        <v>6x750ml C</v>
      </c>
    </row>
    <row r="43" spans="1:33" x14ac:dyDescent="0.25">
      <c r="A43" s="10" t="e">
        <f>IF(#REF!=0,"Hide","Show")</f>
        <v>#REF!</v>
      </c>
      <c r="B43" s="32" t="str">
        <f t="shared" si="56"/>
        <v>Lucien Le Moine</v>
      </c>
      <c r="C43" s="33" t="str">
        <f>"Chassagne-Montrachet 1er Cru Abbaye de Morgeot"</f>
        <v>Chassagne-Montrachet 1er Cru Abbaye de Morgeot</v>
      </c>
      <c r="D43" s="34">
        <v>6</v>
      </c>
      <c r="E43" s="34">
        <v>750</v>
      </c>
      <c r="F43" s="34" t="str">
        <f>"2015"</f>
        <v>2015</v>
      </c>
      <c r="G43" s="34" t="str">
        <f t="shared" si="57"/>
        <v>White</v>
      </c>
      <c r="H43" s="35" t="str">
        <f t="shared" si="58"/>
        <v>CHASSAGNE-MONTRACHET</v>
      </c>
      <c r="I43" s="35" t="str">
        <f t="shared" si="59"/>
        <v>CHARDONNAY</v>
      </c>
      <c r="J43" s="13" t="s">
        <v>75</v>
      </c>
      <c r="K43" s="13" t="s">
        <v>34</v>
      </c>
      <c r="L43" s="13" t="s">
        <v>34</v>
      </c>
      <c r="M43" s="13" t="s">
        <v>34</v>
      </c>
      <c r="N43" s="9">
        <v>14</v>
      </c>
      <c r="O43" s="13" t="str">
        <f t="shared" si="72"/>
        <v/>
      </c>
      <c r="P43" s="13" t="str">
        <f t="shared" si="73"/>
        <v/>
      </c>
      <c r="Q43" s="36" t="str">
        <f t="shared" si="60"/>
        <v>NO UPC</v>
      </c>
      <c r="R43" s="36"/>
      <c r="S43" s="22">
        <v>0</v>
      </c>
      <c r="T43" s="22">
        <v>0</v>
      </c>
      <c r="U43" s="22">
        <v>3.33</v>
      </c>
      <c r="V43" s="22">
        <v>13</v>
      </c>
      <c r="W43" s="22">
        <v>10</v>
      </c>
      <c r="X43" s="22">
        <v>8</v>
      </c>
      <c r="Y43" s="13">
        <v>20</v>
      </c>
      <c r="Z43" s="22">
        <f t="shared" si="74"/>
        <v>0.60185185185185186</v>
      </c>
      <c r="AA43" s="13">
        <v>15</v>
      </c>
      <c r="AB43" s="13">
        <v>6</v>
      </c>
      <c r="AC43" s="13">
        <v>90</v>
      </c>
      <c r="AD43" s="13">
        <f t="shared" si="75"/>
        <v>48</v>
      </c>
      <c r="AE43" s="13">
        <f t="shared" si="76"/>
        <v>1800</v>
      </c>
      <c r="AG43" s="28" t="str">
        <f t="shared" si="61"/>
        <v>6x750ml C</v>
      </c>
    </row>
    <row r="44" spans="1:33" x14ac:dyDescent="0.25">
      <c r="A44" s="10" t="e">
        <f>IF(#REF!=0,"Hide","Show")</f>
        <v>#REF!</v>
      </c>
      <c r="B44" s="32" t="s">
        <v>71</v>
      </c>
      <c r="C44" s="33" t="s">
        <v>149</v>
      </c>
      <c r="D44" s="34">
        <v>6</v>
      </c>
      <c r="E44" s="34">
        <v>750</v>
      </c>
      <c r="F44" s="34" t="s">
        <v>93</v>
      </c>
      <c r="G44" s="34" t="s">
        <v>137</v>
      </c>
      <c r="H44" s="35" t="s">
        <v>154</v>
      </c>
      <c r="I44" s="35" t="s">
        <v>134</v>
      </c>
      <c r="J44" s="13" t="s">
        <v>75</v>
      </c>
      <c r="K44" s="13" t="s">
        <v>34</v>
      </c>
      <c r="L44" s="13" t="s">
        <v>34</v>
      </c>
      <c r="M44" s="13" t="s">
        <v>34</v>
      </c>
      <c r="N44" s="9">
        <v>14</v>
      </c>
      <c r="O44" s="13" t="str">
        <f t="shared" si="51"/>
        <v/>
      </c>
      <c r="P44" s="13" t="str">
        <f t="shared" si="52"/>
        <v/>
      </c>
      <c r="Q44" s="36" t="s">
        <v>91</v>
      </c>
      <c r="R44" s="36" t="s">
        <v>22</v>
      </c>
      <c r="S44" s="22">
        <v>0</v>
      </c>
      <c r="T44" s="22">
        <v>0</v>
      </c>
      <c r="U44" s="22">
        <v>3.33</v>
      </c>
      <c r="V44" s="22">
        <v>13</v>
      </c>
      <c r="W44" s="22">
        <v>10</v>
      </c>
      <c r="X44" s="22">
        <v>8</v>
      </c>
      <c r="Y44" s="13">
        <v>20</v>
      </c>
      <c r="Z44" s="22">
        <f t="shared" si="53"/>
        <v>0.60185185185185186</v>
      </c>
      <c r="AA44" s="13">
        <v>15</v>
      </c>
      <c r="AB44" s="13">
        <v>6</v>
      </c>
      <c r="AC44" s="13">
        <v>90</v>
      </c>
      <c r="AD44" s="13">
        <f t="shared" si="54"/>
        <v>48</v>
      </c>
      <c r="AE44" s="13">
        <f t="shared" si="55"/>
        <v>1800</v>
      </c>
      <c r="AG44" s="28" t="s">
        <v>73</v>
      </c>
    </row>
    <row r="45" spans="1:33" x14ac:dyDescent="0.25">
      <c r="A45" s="10" t="e">
        <f>IF(#REF!=0,"Hide","Show")</f>
        <v>#REF!</v>
      </c>
      <c r="B45" s="32" t="s">
        <v>71</v>
      </c>
      <c r="C45" s="33" t="s">
        <v>149</v>
      </c>
      <c r="D45" s="34">
        <v>6</v>
      </c>
      <c r="E45" s="34">
        <v>750</v>
      </c>
      <c r="F45" s="34" t="s">
        <v>107</v>
      </c>
      <c r="G45" s="34" t="s">
        <v>137</v>
      </c>
      <c r="H45" s="35" t="s">
        <v>154</v>
      </c>
      <c r="I45" s="35" t="s">
        <v>134</v>
      </c>
      <c r="J45" s="13" t="s">
        <v>75</v>
      </c>
      <c r="K45" s="13" t="s">
        <v>34</v>
      </c>
      <c r="L45" s="13" t="s">
        <v>34</v>
      </c>
      <c r="M45" s="13" t="s">
        <v>34</v>
      </c>
      <c r="N45" s="9">
        <v>14</v>
      </c>
      <c r="O45" s="13" t="str">
        <f t="shared" ref="O45" si="77">IF(LEN(Q45)=12,"UPC",IF(LEN(Q45)&gt;12,"EAN",""))</f>
        <v/>
      </c>
      <c r="P45" s="13" t="str">
        <f t="shared" ref="P45" si="78">IF(ISNUMBER(SEARCH("Gift",AG45)),"Gift Box","")</f>
        <v/>
      </c>
      <c r="Q45" s="36" t="s">
        <v>91</v>
      </c>
      <c r="R45" s="36" t="s">
        <v>22</v>
      </c>
      <c r="S45" s="22">
        <v>0</v>
      </c>
      <c r="T45" s="22">
        <v>0</v>
      </c>
      <c r="U45" s="22">
        <v>3.33</v>
      </c>
      <c r="V45" s="22">
        <v>13</v>
      </c>
      <c r="W45" s="22">
        <v>10</v>
      </c>
      <c r="X45" s="22">
        <v>8</v>
      </c>
      <c r="Y45" s="13">
        <v>20</v>
      </c>
      <c r="Z45" s="22">
        <f t="shared" ref="Z45" si="79">IF(V45&gt;0,(V45*W45*X45)/1728,"")</f>
        <v>0.60185185185185186</v>
      </c>
      <c r="AA45" s="13">
        <v>15</v>
      </c>
      <c r="AB45" s="13">
        <v>6</v>
      </c>
      <c r="AC45" s="13">
        <v>90</v>
      </c>
      <c r="AD45" s="13">
        <f t="shared" ref="AD45" si="80">IF(AB45&gt;0,AB45*X45,"")</f>
        <v>48</v>
      </c>
      <c r="AE45" s="13">
        <f t="shared" ref="AE45" si="81">IF(Y45&gt;0,Y45*(AA45*AB45),"")</f>
        <v>1800</v>
      </c>
      <c r="AG45" s="28" t="s">
        <v>73</v>
      </c>
    </row>
    <row r="46" spans="1:33" x14ac:dyDescent="0.25">
      <c r="A46" s="10" t="e">
        <f>IF(#REF!=0,"Hide","Show")</f>
        <v>#REF!</v>
      </c>
      <c r="B46" s="32" t="s">
        <v>71</v>
      </c>
      <c r="C46" s="33" t="s">
        <v>150</v>
      </c>
      <c r="D46" s="34">
        <v>6</v>
      </c>
      <c r="E46" s="34">
        <v>750</v>
      </c>
      <c r="F46" s="34" t="s">
        <v>87</v>
      </c>
      <c r="G46" s="34" t="s">
        <v>137</v>
      </c>
      <c r="H46" s="35" t="s">
        <v>155</v>
      </c>
      <c r="I46" s="35" t="s">
        <v>134</v>
      </c>
      <c r="J46" s="13" t="s">
        <v>75</v>
      </c>
      <c r="K46" s="13" t="s">
        <v>34</v>
      </c>
      <c r="L46" s="13" t="s">
        <v>34</v>
      </c>
      <c r="M46" s="13" t="s">
        <v>34</v>
      </c>
      <c r="N46" s="9">
        <v>13.5</v>
      </c>
      <c r="O46" s="13" t="str">
        <f t="shared" si="51"/>
        <v/>
      </c>
      <c r="P46" s="13" t="str">
        <f t="shared" si="52"/>
        <v/>
      </c>
      <c r="Q46" s="36" t="s">
        <v>91</v>
      </c>
      <c r="R46" s="36" t="s">
        <v>22</v>
      </c>
      <c r="S46" s="22">
        <v>0</v>
      </c>
      <c r="T46" s="22">
        <v>0</v>
      </c>
      <c r="U46" s="22">
        <v>3.33</v>
      </c>
      <c r="V46" s="22">
        <v>13</v>
      </c>
      <c r="W46" s="22">
        <v>10</v>
      </c>
      <c r="X46" s="22">
        <v>8</v>
      </c>
      <c r="Y46" s="13">
        <v>20</v>
      </c>
      <c r="Z46" s="22">
        <f t="shared" si="53"/>
        <v>0.60185185185185186</v>
      </c>
      <c r="AA46" s="13">
        <v>15</v>
      </c>
      <c r="AB46" s="13">
        <v>6</v>
      </c>
      <c r="AC46" s="13">
        <v>90</v>
      </c>
      <c r="AD46" s="13">
        <f t="shared" si="54"/>
        <v>48</v>
      </c>
      <c r="AE46" s="13">
        <f t="shared" si="55"/>
        <v>1800</v>
      </c>
      <c r="AG46" s="28" t="s">
        <v>73</v>
      </c>
    </row>
    <row r="47" spans="1:33" x14ac:dyDescent="0.25">
      <c r="A47" s="10" t="e">
        <f>IF(#REF!=0,"Hide","Show")</f>
        <v>#REF!</v>
      </c>
      <c r="B47" s="32" t="s">
        <v>71</v>
      </c>
      <c r="C47" s="33" t="s">
        <v>150</v>
      </c>
      <c r="D47" s="34">
        <v>6</v>
      </c>
      <c r="E47" s="34">
        <v>750</v>
      </c>
      <c r="F47" s="34" t="s">
        <v>93</v>
      </c>
      <c r="G47" s="34" t="s">
        <v>137</v>
      </c>
      <c r="H47" s="35" t="s">
        <v>155</v>
      </c>
      <c r="I47" s="35" t="s">
        <v>134</v>
      </c>
      <c r="J47" s="13" t="s">
        <v>75</v>
      </c>
      <c r="K47" s="13" t="s">
        <v>34</v>
      </c>
      <c r="L47" s="13" t="s">
        <v>34</v>
      </c>
      <c r="M47" s="13" t="s">
        <v>34</v>
      </c>
      <c r="N47" s="9">
        <v>13.5</v>
      </c>
      <c r="O47" s="13" t="str">
        <f t="shared" ref="O47" si="82">IF(LEN(Q47)=12,"UPC",IF(LEN(Q47)&gt;12,"EAN",""))</f>
        <v/>
      </c>
      <c r="P47" s="13" t="str">
        <f t="shared" ref="P47" si="83">IF(ISNUMBER(SEARCH("Gift",AG47)),"Gift Box","")</f>
        <v/>
      </c>
      <c r="Q47" s="36" t="s">
        <v>91</v>
      </c>
      <c r="R47" s="36" t="s">
        <v>22</v>
      </c>
      <c r="S47" s="22">
        <v>0</v>
      </c>
      <c r="T47" s="22">
        <v>0</v>
      </c>
      <c r="U47" s="22">
        <v>3.33</v>
      </c>
      <c r="V47" s="22">
        <v>13</v>
      </c>
      <c r="W47" s="22">
        <v>10</v>
      </c>
      <c r="X47" s="22">
        <v>8</v>
      </c>
      <c r="Y47" s="13">
        <v>20</v>
      </c>
      <c r="Z47" s="22">
        <f t="shared" ref="Z47" si="84">IF(V47&gt;0,(V47*W47*X47)/1728,"")</f>
        <v>0.60185185185185186</v>
      </c>
      <c r="AA47" s="13">
        <v>15</v>
      </c>
      <c r="AB47" s="13">
        <v>6</v>
      </c>
      <c r="AC47" s="13">
        <v>90</v>
      </c>
      <c r="AD47" s="13">
        <f t="shared" ref="AD47" si="85">IF(AB47&gt;0,AB47*X47,"")</f>
        <v>48</v>
      </c>
      <c r="AE47" s="13">
        <f t="shared" ref="AE47" si="86">IF(Y47&gt;0,Y47*(AA47*AB47),"")</f>
        <v>1800</v>
      </c>
      <c r="AG47" s="28" t="s">
        <v>73</v>
      </c>
    </row>
    <row r="48" spans="1:33" x14ac:dyDescent="0.25">
      <c r="A48" s="10" t="e">
        <f>IF(#REF!=0,"Hide","Show")</f>
        <v>#REF!</v>
      </c>
      <c r="B48" s="32" t="s">
        <v>71</v>
      </c>
      <c r="C48" s="33" t="s">
        <v>151</v>
      </c>
      <c r="D48" s="34">
        <v>6</v>
      </c>
      <c r="E48" s="34">
        <v>750</v>
      </c>
      <c r="F48" s="34" t="s">
        <v>86</v>
      </c>
      <c r="G48" s="34" t="s">
        <v>137</v>
      </c>
      <c r="H48" s="35" t="s">
        <v>144</v>
      </c>
      <c r="I48" s="35" t="s">
        <v>134</v>
      </c>
      <c r="J48" s="13" t="s">
        <v>75</v>
      </c>
      <c r="K48" s="13" t="s">
        <v>34</v>
      </c>
      <c r="L48" s="13" t="s">
        <v>34</v>
      </c>
      <c r="M48" s="13" t="s">
        <v>34</v>
      </c>
      <c r="N48" s="9">
        <v>13</v>
      </c>
      <c r="O48" s="13" t="str">
        <f t="shared" si="51"/>
        <v/>
      </c>
      <c r="P48" s="13" t="str">
        <f t="shared" si="52"/>
        <v/>
      </c>
      <c r="Q48" s="36" t="s">
        <v>91</v>
      </c>
      <c r="R48" s="36" t="s">
        <v>22</v>
      </c>
      <c r="S48" s="22">
        <v>0</v>
      </c>
      <c r="T48" s="22">
        <v>0</v>
      </c>
      <c r="U48" s="22">
        <v>3.33</v>
      </c>
      <c r="V48" s="22">
        <v>13</v>
      </c>
      <c r="W48" s="22">
        <v>10</v>
      </c>
      <c r="X48" s="22">
        <v>8</v>
      </c>
      <c r="Y48" s="13">
        <v>20</v>
      </c>
      <c r="Z48" s="22">
        <f t="shared" si="53"/>
        <v>0.60185185185185186</v>
      </c>
      <c r="AA48" s="13">
        <v>15</v>
      </c>
      <c r="AB48" s="13">
        <v>6</v>
      </c>
      <c r="AC48" s="13">
        <v>90</v>
      </c>
      <c r="AD48" s="13">
        <f t="shared" si="54"/>
        <v>48</v>
      </c>
      <c r="AE48" s="13">
        <f t="shared" si="55"/>
        <v>1800</v>
      </c>
      <c r="AG48" s="28" t="s">
        <v>73</v>
      </c>
    </row>
    <row r="49" spans="1:33" x14ac:dyDescent="0.25">
      <c r="A49" s="10" t="e">
        <f>IF(#REF!=0,"Hide","Show")</f>
        <v>#REF!</v>
      </c>
      <c r="B49" s="32" t="s">
        <v>71</v>
      </c>
      <c r="C49" s="33" t="s">
        <v>151</v>
      </c>
      <c r="D49" s="34">
        <v>6</v>
      </c>
      <c r="E49" s="34">
        <v>750</v>
      </c>
      <c r="F49" s="34" t="s">
        <v>107</v>
      </c>
      <c r="G49" s="34" t="s">
        <v>137</v>
      </c>
      <c r="H49" s="35" t="s">
        <v>144</v>
      </c>
      <c r="I49" s="35" t="s">
        <v>134</v>
      </c>
      <c r="J49" s="13" t="s">
        <v>75</v>
      </c>
      <c r="K49" s="13" t="s">
        <v>34</v>
      </c>
      <c r="L49" s="13" t="s">
        <v>34</v>
      </c>
      <c r="M49" s="13" t="s">
        <v>34</v>
      </c>
      <c r="N49" s="9">
        <v>14</v>
      </c>
      <c r="O49" s="13" t="str">
        <f t="shared" ref="O49" si="87">IF(LEN(Q49)=12,"UPC",IF(LEN(Q49)&gt;12,"EAN",""))</f>
        <v/>
      </c>
      <c r="P49" s="13" t="str">
        <f t="shared" ref="P49" si="88">IF(ISNUMBER(SEARCH("Gift",AG49)),"Gift Box","")</f>
        <v/>
      </c>
      <c r="Q49" s="36" t="s">
        <v>91</v>
      </c>
      <c r="R49" s="36" t="s">
        <v>22</v>
      </c>
      <c r="S49" s="22">
        <v>0</v>
      </c>
      <c r="T49" s="22">
        <v>0</v>
      </c>
      <c r="U49" s="22">
        <v>3.33</v>
      </c>
      <c r="V49" s="22">
        <v>13</v>
      </c>
      <c r="W49" s="22">
        <v>10</v>
      </c>
      <c r="X49" s="22">
        <v>8</v>
      </c>
      <c r="Y49" s="13">
        <v>20</v>
      </c>
      <c r="Z49" s="22">
        <f t="shared" ref="Z49" si="89">IF(V49&gt;0,(V49*W49*X49)/1728,"")</f>
        <v>0.60185185185185186</v>
      </c>
      <c r="AA49" s="13">
        <v>15</v>
      </c>
      <c r="AB49" s="13">
        <v>6</v>
      </c>
      <c r="AC49" s="13">
        <v>90</v>
      </c>
      <c r="AD49" s="13">
        <f t="shared" ref="AD49" si="90">IF(AB49&gt;0,AB49*X49,"")</f>
        <v>48</v>
      </c>
      <c r="AE49" s="13">
        <f t="shared" ref="AE49" si="91">IF(Y49&gt;0,Y49*(AA49*AB49),"")</f>
        <v>1800</v>
      </c>
      <c r="AG49" s="28" t="s">
        <v>73</v>
      </c>
    </row>
    <row r="50" spans="1:33" x14ac:dyDescent="0.25">
      <c r="A50" s="10" t="e">
        <f>IF(#REF!=0,"Hide","Show")</f>
        <v>#REF!</v>
      </c>
      <c r="B50" s="32" t="s">
        <v>71</v>
      </c>
      <c r="C50" s="33" t="s">
        <v>152</v>
      </c>
      <c r="D50" s="34">
        <v>6</v>
      </c>
      <c r="E50" s="34">
        <v>750</v>
      </c>
      <c r="F50" s="34" t="s">
        <v>86</v>
      </c>
      <c r="G50" s="34" t="s">
        <v>137</v>
      </c>
      <c r="H50" s="35" t="s">
        <v>144</v>
      </c>
      <c r="I50" s="35" t="s">
        <v>134</v>
      </c>
      <c r="J50" s="13" t="s">
        <v>75</v>
      </c>
      <c r="K50" s="13" t="s">
        <v>34</v>
      </c>
      <c r="L50" s="13" t="s">
        <v>34</v>
      </c>
      <c r="M50" s="13" t="s">
        <v>34</v>
      </c>
      <c r="N50" s="9">
        <v>13.5</v>
      </c>
      <c r="O50" s="13" t="str">
        <f t="shared" si="51"/>
        <v/>
      </c>
      <c r="P50" s="13" t="str">
        <f t="shared" si="52"/>
        <v/>
      </c>
      <c r="Q50" s="36" t="s">
        <v>91</v>
      </c>
      <c r="R50" s="36" t="s">
        <v>22</v>
      </c>
      <c r="S50" s="22">
        <v>0</v>
      </c>
      <c r="T50" s="22">
        <v>0</v>
      </c>
      <c r="U50" s="22">
        <v>3.33</v>
      </c>
      <c r="V50" s="22">
        <v>13</v>
      </c>
      <c r="W50" s="22">
        <v>10</v>
      </c>
      <c r="X50" s="22">
        <v>8</v>
      </c>
      <c r="Y50" s="13">
        <v>20</v>
      </c>
      <c r="Z50" s="22">
        <f t="shared" si="53"/>
        <v>0.60185185185185186</v>
      </c>
      <c r="AA50" s="13">
        <v>15</v>
      </c>
      <c r="AB50" s="13">
        <v>6</v>
      </c>
      <c r="AC50" s="13">
        <v>90</v>
      </c>
      <c r="AD50" s="13">
        <f t="shared" si="54"/>
        <v>48</v>
      </c>
      <c r="AE50" s="13">
        <f t="shared" si="55"/>
        <v>1800</v>
      </c>
      <c r="AG50" s="28" t="s">
        <v>73</v>
      </c>
    </row>
    <row r="51" spans="1:33" x14ac:dyDescent="0.25">
      <c r="A51" s="10" t="e">
        <f>IF(#REF!=0,"Hide","Show")</f>
        <v>#REF!</v>
      </c>
      <c r="B51" s="32" t="s">
        <v>71</v>
      </c>
      <c r="C51" s="33" t="s">
        <v>153</v>
      </c>
      <c r="D51" s="34">
        <v>6</v>
      </c>
      <c r="E51" s="34">
        <v>750</v>
      </c>
      <c r="F51" s="34" t="s">
        <v>86</v>
      </c>
      <c r="G51" s="34" t="s">
        <v>137</v>
      </c>
      <c r="H51" s="35" t="s">
        <v>144</v>
      </c>
      <c r="I51" s="35" t="s">
        <v>134</v>
      </c>
      <c r="J51" s="13" t="s">
        <v>75</v>
      </c>
      <c r="K51" s="13" t="s">
        <v>34</v>
      </c>
      <c r="L51" s="13" t="s">
        <v>34</v>
      </c>
      <c r="M51" s="13" t="s">
        <v>34</v>
      </c>
      <c r="N51" s="9">
        <v>13.5</v>
      </c>
      <c r="O51" s="13" t="str">
        <f t="shared" si="51"/>
        <v/>
      </c>
      <c r="P51" s="13" t="str">
        <f t="shared" si="52"/>
        <v/>
      </c>
      <c r="Q51" s="36" t="s">
        <v>91</v>
      </c>
      <c r="R51" s="36" t="s">
        <v>22</v>
      </c>
      <c r="S51" s="22">
        <v>0</v>
      </c>
      <c r="T51" s="22">
        <v>0</v>
      </c>
      <c r="U51" s="22">
        <v>3.33</v>
      </c>
      <c r="V51" s="22">
        <v>13</v>
      </c>
      <c r="W51" s="22">
        <v>10</v>
      </c>
      <c r="X51" s="22">
        <v>8</v>
      </c>
      <c r="Y51" s="13">
        <v>20</v>
      </c>
      <c r="Z51" s="22">
        <f t="shared" si="53"/>
        <v>0.60185185185185186</v>
      </c>
      <c r="AA51" s="13">
        <v>15</v>
      </c>
      <c r="AB51" s="13">
        <v>6</v>
      </c>
      <c r="AC51" s="13">
        <v>90</v>
      </c>
      <c r="AD51" s="13">
        <f t="shared" si="54"/>
        <v>48</v>
      </c>
      <c r="AE51" s="13">
        <f t="shared" si="55"/>
        <v>1800</v>
      </c>
      <c r="AG51" s="28" t="s">
        <v>73</v>
      </c>
    </row>
    <row r="52" spans="1:33" x14ac:dyDescent="0.25">
      <c r="A52" s="10" t="e">
        <f>IF(#REF!=0,"Hide","Show")</f>
        <v>#REF!</v>
      </c>
      <c r="B52" s="32" t="s">
        <v>71</v>
      </c>
      <c r="C52" s="33" t="s">
        <v>153</v>
      </c>
      <c r="D52" s="34">
        <v>6</v>
      </c>
      <c r="E52" s="34">
        <v>750</v>
      </c>
      <c r="F52" s="34" t="s">
        <v>107</v>
      </c>
      <c r="G52" s="34" t="s">
        <v>137</v>
      </c>
      <c r="H52" s="35" t="s">
        <v>144</v>
      </c>
      <c r="I52" s="35" t="s">
        <v>134</v>
      </c>
      <c r="J52" s="13" t="s">
        <v>75</v>
      </c>
      <c r="K52" s="13" t="s">
        <v>34</v>
      </c>
      <c r="L52" s="13" t="s">
        <v>34</v>
      </c>
      <c r="M52" s="13" t="s">
        <v>34</v>
      </c>
      <c r="N52" s="9">
        <v>13.5</v>
      </c>
      <c r="O52" s="13" t="str">
        <f t="shared" ref="O52" si="92">IF(LEN(Q52)=12,"UPC",IF(LEN(Q52)&gt;12,"EAN",""))</f>
        <v/>
      </c>
      <c r="P52" s="13" t="str">
        <f t="shared" ref="P52" si="93">IF(ISNUMBER(SEARCH("Gift",AG52)),"Gift Box","")</f>
        <v/>
      </c>
      <c r="Q52" s="36" t="s">
        <v>91</v>
      </c>
      <c r="R52" s="36" t="s">
        <v>22</v>
      </c>
      <c r="S52" s="22">
        <v>0</v>
      </c>
      <c r="T52" s="22">
        <v>0</v>
      </c>
      <c r="U52" s="22">
        <v>3.33</v>
      </c>
      <c r="V52" s="22">
        <v>13</v>
      </c>
      <c r="W52" s="22">
        <v>10</v>
      </c>
      <c r="X52" s="22">
        <v>8</v>
      </c>
      <c r="Y52" s="13">
        <v>20</v>
      </c>
      <c r="Z52" s="22">
        <f t="shared" ref="Z52" si="94">IF(V52&gt;0,(V52*W52*X52)/1728,"")</f>
        <v>0.60185185185185186</v>
      </c>
      <c r="AA52" s="13">
        <v>15</v>
      </c>
      <c r="AB52" s="13">
        <v>6</v>
      </c>
      <c r="AC52" s="13">
        <v>90</v>
      </c>
      <c r="AD52" s="13">
        <f t="shared" ref="AD52" si="95">IF(AB52&gt;0,AB52*X52,"")</f>
        <v>48</v>
      </c>
      <c r="AE52" s="13">
        <f t="shared" ref="AE52" si="96">IF(Y52&gt;0,Y52*(AA52*AB52),"")</f>
        <v>1800</v>
      </c>
      <c r="AG52" s="28" t="s">
        <v>73</v>
      </c>
    </row>
    <row r="53" spans="1:33" x14ac:dyDescent="0.25">
      <c r="A53" s="10" t="e">
        <f>IF(#REF!=0,"Hide","Show")</f>
        <v>#REF!</v>
      </c>
      <c r="B53" s="32" t="str">
        <f>"Lucien Le Moine"</f>
        <v>Lucien Le Moine</v>
      </c>
      <c r="C53" s="33" t="str">
        <f>"Meursault 1er Cru Porusot"</f>
        <v>Meursault 1er Cru Porusot</v>
      </c>
      <c r="D53" s="34">
        <v>6</v>
      </c>
      <c r="E53" s="34">
        <v>750</v>
      </c>
      <c r="F53" s="34" t="str">
        <f>"2011"</f>
        <v>2011</v>
      </c>
      <c r="G53" s="34" t="str">
        <f>"White"</f>
        <v>White</v>
      </c>
      <c r="H53" s="35" t="str">
        <f>"CHASSAGNE-MONTRACHET"</f>
        <v>CHASSAGNE-MONTRACHET</v>
      </c>
      <c r="I53" s="35" t="str">
        <f>"CHARDONNAY"</f>
        <v>CHARDONNAY</v>
      </c>
      <c r="J53" s="13" t="s">
        <v>75</v>
      </c>
      <c r="K53" s="13" t="s">
        <v>34</v>
      </c>
      <c r="L53" s="13" t="s">
        <v>34</v>
      </c>
      <c r="M53" s="13" t="s">
        <v>34</v>
      </c>
      <c r="N53" s="9">
        <v>13</v>
      </c>
      <c r="O53" s="13" t="str">
        <f t="shared" si="51"/>
        <v/>
      </c>
      <c r="P53" s="13" t="str">
        <f t="shared" si="52"/>
        <v/>
      </c>
      <c r="Q53" s="36" t="str">
        <f>"NO UPC"</f>
        <v>NO UPC</v>
      </c>
      <c r="R53" s="36"/>
      <c r="S53" s="22">
        <v>0</v>
      </c>
      <c r="T53" s="22">
        <v>0</v>
      </c>
      <c r="U53" s="22">
        <v>3.33</v>
      </c>
      <c r="V53" s="22">
        <v>13</v>
      </c>
      <c r="W53" s="22">
        <v>10</v>
      </c>
      <c r="X53" s="22">
        <v>8</v>
      </c>
      <c r="Y53" s="13">
        <v>20</v>
      </c>
      <c r="Z53" s="22">
        <f t="shared" si="53"/>
        <v>0.60185185185185186</v>
      </c>
      <c r="AA53" s="13">
        <v>15</v>
      </c>
      <c r="AB53" s="13">
        <v>6</v>
      </c>
      <c r="AC53" s="13">
        <v>90</v>
      </c>
      <c r="AD53" s="13">
        <f t="shared" si="54"/>
        <v>48</v>
      </c>
      <c r="AE53" s="13">
        <f t="shared" si="55"/>
        <v>1800</v>
      </c>
      <c r="AG53" s="28" t="str">
        <f>"6x750ml C"</f>
        <v>6x750ml C</v>
      </c>
    </row>
    <row r="54" spans="1:33" x14ac:dyDescent="0.25">
      <c r="A54" s="10" t="e">
        <f>IF(#REF!=0,"Hide","Show")</f>
        <v>#REF!</v>
      </c>
      <c r="B54" s="32" t="str">
        <f>"Lucien Le Moine"</f>
        <v>Lucien Le Moine</v>
      </c>
      <c r="C54" s="33" t="str">
        <f>"Meursault 1er Cru Porusot"</f>
        <v>Meursault 1er Cru Porusot</v>
      </c>
      <c r="D54" s="34">
        <v>6</v>
      </c>
      <c r="E54" s="34">
        <v>750</v>
      </c>
      <c r="F54" s="34" t="str">
        <f>"2012"</f>
        <v>2012</v>
      </c>
      <c r="G54" s="34" t="str">
        <f>"White"</f>
        <v>White</v>
      </c>
      <c r="H54" s="35" t="str">
        <f>"MEURSAULT"</f>
        <v>MEURSAULT</v>
      </c>
      <c r="I54" s="35" t="str">
        <f>"CHARDONNAY"</f>
        <v>CHARDONNAY</v>
      </c>
      <c r="J54" s="13" t="s">
        <v>75</v>
      </c>
      <c r="K54" s="13" t="s">
        <v>34</v>
      </c>
      <c r="L54" s="13" t="s">
        <v>34</v>
      </c>
      <c r="M54" s="13" t="s">
        <v>34</v>
      </c>
      <c r="N54" s="9">
        <v>13.5</v>
      </c>
      <c r="O54" s="13" t="str">
        <f t="shared" ref="O54:O56" si="97">IF(LEN(Q54)=12,"UPC",IF(LEN(Q54)&gt;12,"EAN",""))</f>
        <v/>
      </c>
      <c r="P54" s="13" t="str">
        <f t="shared" ref="P54:P56" si="98">IF(ISNUMBER(SEARCH("Gift",AG54)),"Gift Box","")</f>
        <v/>
      </c>
      <c r="Q54" s="36" t="str">
        <f>"NO UPC"</f>
        <v>NO UPC</v>
      </c>
      <c r="R54" s="36"/>
      <c r="S54" s="22">
        <v>0</v>
      </c>
      <c r="T54" s="22">
        <v>0</v>
      </c>
      <c r="U54" s="22">
        <v>3.33</v>
      </c>
      <c r="V54" s="22">
        <v>13</v>
      </c>
      <c r="W54" s="22">
        <v>10</v>
      </c>
      <c r="X54" s="22">
        <v>8</v>
      </c>
      <c r="Y54" s="13">
        <v>20</v>
      </c>
      <c r="Z54" s="22">
        <f t="shared" ref="Z54:Z56" si="99">IF(V54&gt;0,(V54*W54*X54)/1728,"")</f>
        <v>0.60185185185185186</v>
      </c>
      <c r="AA54" s="13">
        <v>15</v>
      </c>
      <c r="AB54" s="13">
        <v>6</v>
      </c>
      <c r="AC54" s="13">
        <v>90</v>
      </c>
      <c r="AD54" s="13">
        <f t="shared" ref="AD54:AD56" si="100">IF(AB54&gt;0,AB54*X54,"")</f>
        <v>48</v>
      </c>
      <c r="AE54" s="13">
        <f t="shared" ref="AE54:AE56" si="101">IF(Y54&gt;0,Y54*(AA54*AB54),"")</f>
        <v>1800</v>
      </c>
      <c r="AG54" s="28" t="str">
        <f>"6x750ml C"</f>
        <v>6x750ml C</v>
      </c>
    </row>
    <row r="55" spans="1:33" x14ac:dyDescent="0.25">
      <c r="A55" s="10" t="e">
        <f>IF(#REF!=0,"Hide","Show")</f>
        <v>#REF!</v>
      </c>
      <c r="B55" s="32" t="str">
        <f>"Lucien Le Moine"</f>
        <v>Lucien Le Moine</v>
      </c>
      <c r="C55" s="33" t="str">
        <f>"Meursault 1er Cru Porusot"</f>
        <v>Meursault 1er Cru Porusot</v>
      </c>
      <c r="D55" s="34">
        <v>6</v>
      </c>
      <c r="E55" s="34">
        <v>750</v>
      </c>
      <c r="F55" s="34" t="str">
        <f>"2013"</f>
        <v>2013</v>
      </c>
      <c r="G55" s="34" t="str">
        <f>"White"</f>
        <v>White</v>
      </c>
      <c r="H55" s="35" t="str">
        <f>"MEURSAULT"</f>
        <v>MEURSAULT</v>
      </c>
      <c r="I55" s="35" t="str">
        <f>"CHARDONNAY"</f>
        <v>CHARDONNAY</v>
      </c>
      <c r="J55" s="13" t="s">
        <v>75</v>
      </c>
      <c r="K55" s="13" t="s">
        <v>34</v>
      </c>
      <c r="L55" s="13" t="s">
        <v>34</v>
      </c>
      <c r="M55" s="13" t="s">
        <v>34</v>
      </c>
      <c r="N55" s="9">
        <v>13.5</v>
      </c>
      <c r="O55" s="13" t="str">
        <f t="shared" si="97"/>
        <v/>
      </c>
      <c r="P55" s="13" t="str">
        <f t="shared" si="98"/>
        <v/>
      </c>
      <c r="Q55" s="36" t="str">
        <f>"NO UPC"</f>
        <v>NO UPC</v>
      </c>
      <c r="R55" s="36"/>
      <c r="S55" s="22">
        <v>0</v>
      </c>
      <c r="T55" s="22">
        <v>0</v>
      </c>
      <c r="U55" s="22">
        <v>3.33</v>
      </c>
      <c r="V55" s="22">
        <v>13</v>
      </c>
      <c r="W55" s="22">
        <v>10</v>
      </c>
      <c r="X55" s="22">
        <v>8</v>
      </c>
      <c r="Y55" s="13">
        <v>20</v>
      </c>
      <c r="Z55" s="22">
        <f t="shared" si="99"/>
        <v>0.60185185185185186</v>
      </c>
      <c r="AA55" s="13">
        <v>15</v>
      </c>
      <c r="AB55" s="13">
        <v>6</v>
      </c>
      <c r="AC55" s="13">
        <v>90</v>
      </c>
      <c r="AD55" s="13">
        <f t="shared" si="100"/>
        <v>48</v>
      </c>
      <c r="AE55" s="13">
        <f t="shared" si="101"/>
        <v>1800</v>
      </c>
      <c r="AG55" s="28" t="str">
        <f>"6x750ml C"</f>
        <v>6x750ml C</v>
      </c>
    </row>
    <row r="56" spans="1:33" x14ac:dyDescent="0.25">
      <c r="A56" s="10" t="e">
        <f>IF(#REF!=0,"Hide","Show")</f>
        <v>#REF!</v>
      </c>
      <c r="B56" s="32" t="str">
        <f>"Lucien Le Moine"</f>
        <v>Lucien Le Moine</v>
      </c>
      <c r="C56" s="33" t="str">
        <f>"Meursault 1er Cru Porusot"</f>
        <v>Meursault 1er Cru Porusot</v>
      </c>
      <c r="D56" s="34">
        <v>6</v>
      </c>
      <c r="E56" s="34">
        <v>750</v>
      </c>
      <c r="F56" s="34" t="str">
        <f>"2015"</f>
        <v>2015</v>
      </c>
      <c r="G56" s="34" t="str">
        <f>"White"</f>
        <v>White</v>
      </c>
      <c r="H56" s="35" t="str">
        <f>"MEURSAULT"</f>
        <v>MEURSAULT</v>
      </c>
      <c r="I56" s="35" t="str">
        <f>"CHARDONNAY"</f>
        <v>CHARDONNAY</v>
      </c>
      <c r="J56" s="13" t="s">
        <v>75</v>
      </c>
      <c r="K56" s="13" t="s">
        <v>34</v>
      </c>
      <c r="L56" s="13" t="s">
        <v>34</v>
      </c>
      <c r="M56" s="13" t="s">
        <v>34</v>
      </c>
      <c r="N56" s="9">
        <v>13.5</v>
      </c>
      <c r="O56" s="13" t="str">
        <f t="shared" si="97"/>
        <v/>
      </c>
      <c r="P56" s="13" t="str">
        <f t="shared" si="98"/>
        <v/>
      </c>
      <c r="Q56" s="36" t="str">
        <f>"NO UPC"</f>
        <v>NO UPC</v>
      </c>
      <c r="R56" s="36"/>
      <c r="S56" s="22">
        <v>0</v>
      </c>
      <c r="T56" s="22">
        <v>0</v>
      </c>
      <c r="U56" s="22">
        <v>3.33</v>
      </c>
      <c r="V56" s="22">
        <v>13</v>
      </c>
      <c r="W56" s="22">
        <v>10</v>
      </c>
      <c r="X56" s="22">
        <v>8</v>
      </c>
      <c r="Y56" s="13">
        <v>20</v>
      </c>
      <c r="Z56" s="22">
        <f t="shared" si="99"/>
        <v>0.60185185185185186</v>
      </c>
      <c r="AA56" s="13">
        <v>15</v>
      </c>
      <c r="AB56" s="13">
        <v>6</v>
      </c>
      <c r="AC56" s="13">
        <v>90</v>
      </c>
      <c r="AD56" s="13">
        <f t="shared" si="100"/>
        <v>48</v>
      </c>
      <c r="AE56" s="13">
        <f t="shared" si="101"/>
        <v>1800</v>
      </c>
      <c r="AG56" s="28" t="str">
        <f>"6x750ml C"</f>
        <v>6x750ml C</v>
      </c>
    </row>
    <row r="57" spans="1:33" x14ac:dyDescent="0.25">
      <c r="A57" s="10" t="e">
        <f>IF(#REF!=0,"Hide","Show")</f>
        <v>#REF!</v>
      </c>
      <c r="B57" s="32" t="s">
        <v>71</v>
      </c>
      <c r="C57" s="33" t="s">
        <v>139</v>
      </c>
      <c r="D57" s="34">
        <v>6</v>
      </c>
      <c r="E57" s="34">
        <v>750</v>
      </c>
      <c r="F57" s="34" t="s">
        <v>86</v>
      </c>
      <c r="G57" s="34" t="s">
        <v>137</v>
      </c>
      <c r="H57" s="35" t="s">
        <v>144</v>
      </c>
      <c r="I57" s="35" t="s">
        <v>134</v>
      </c>
      <c r="J57" s="13" t="s">
        <v>75</v>
      </c>
      <c r="K57" s="13" t="s">
        <v>34</v>
      </c>
      <c r="L57" s="13" t="s">
        <v>34</v>
      </c>
      <c r="M57" s="13" t="s">
        <v>34</v>
      </c>
      <c r="N57" s="9">
        <v>13.5</v>
      </c>
      <c r="O57" s="13" t="str">
        <f t="shared" si="51"/>
        <v/>
      </c>
      <c r="P57" s="13" t="str">
        <f t="shared" si="52"/>
        <v/>
      </c>
      <c r="Q57" s="36" t="s">
        <v>91</v>
      </c>
      <c r="R57" s="36" t="s">
        <v>22</v>
      </c>
      <c r="S57" s="22">
        <v>0</v>
      </c>
      <c r="T57" s="22">
        <v>0</v>
      </c>
      <c r="U57" s="22">
        <v>3.33</v>
      </c>
      <c r="V57" s="22">
        <v>13</v>
      </c>
      <c r="W57" s="22">
        <v>10</v>
      </c>
      <c r="X57" s="22">
        <v>8</v>
      </c>
      <c r="Y57" s="13">
        <v>20</v>
      </c>
      <c r="Z57" s="22">
        <f t="shared" si="53"/>
        <v>0.60185185185185186</v>
      </c>
      <c r="AA57" s="13">
        <v>15</v>
      </c>
      <c r="AB57" s="13">
        <v>6</v>
      </c>
      <c r="AC57" s="13">
        <v>90</v>
      </c>
      <c r="AD57" s="13">
        <f t="shared" si="54"/>
        <v>48</v>
      </c>
      <c r="AE57" s="13">
        <f t="shared" si="55"/>
        <v>1800</v>
      </c>
      <c r="AG57" s="28" t="s">
        <v>73</v>
      </c>
    </row>
    <row r="58" spans="1:33" x14ac:dyDescent="0.25">
      <c r="A58" s="10" t="e">
        <f>IF(#REF!=0,"Hide","Show")</f>
        <v>#REF!</v>
      </c>
      <c r="B58" s="32" t="s">
        <v>71</v>
      </c>
      <c r="C58" s="33" t="s">
        <v>140</v>
      </c>
      <c r="D58" s="34">
        <v>6</v>
      </c>
      <c r="E58" s="34">
        <v>750</v>
      </c>
      <c r="F58" s="34" t="s">
        <v>106</v>
      </c>
      <c r="G58" s="34" t="s">
        <v>137</v>
      </c>
      <c r="H58" s="35" t="s">
        <v>145</v>
      </c>
      <c r="I58" s="35" t="s">
        <v>134</v>
      </c>
      <c r="J58" s="13" t="s">
        <v>75</v>
      </c>
      <c r="K58" s="13" t="s">
        <v>34</v>
      </c>
      <c r="L58" s="13" t="s">
        <v>34</v>
      </c>
      <c r="M58" s="13" t="s">
        <v>34</v>
      </c>
      <c r="N58" s="9">
        <v>13.5</v>
      </c>
      <c r="O58" s="13" t="str">
        <f t="shared" si="51"/>
        <v/>
      </c>
      <c r="P58" s="13" t="str">
        <f t="shared" si="52"/>
        <v/>
      </c>
      <c r="Q58" s="36" t="s">
        <v>91</v>
      </c>
      <c r="R58" s="36" t="s">
        <v>22</v>
      </c>
      <c r="S58" s="22">
        <v>0</v>
      </c>
      <c r="T58" s="22">
        <v>0</v>
      </c>
      <c r="U58" s="22">
        <v>3.33</v>
      </c>
      <c r="V58" s="22">
        <v>13</v>
      </c>
      <c r="W58" s="22">
        <v>10</v>
      </c>
      <c r="X58" s="22">
        <v>8</v>
      </c>
      <c r="Y58" s="13">
        <v>20</v>
      </c>
      <c r="Z58" s="22">
        <f t="shared" si="53"/>
        <v>0.60185185185185186</v>
      </c>
      <c r="AA58" s="13">
        <v>15</v>
      </c>
      <c r="AB58" s="13">
        <v>6</v>
      </c>
      <c r="AC58" s="13">
        <v>90</v>
      </c>
      <c r="AD58" s="13">
        <f t="shared" si="54"/>
        <v>48</v>
      </c>
      <c r="AE58" s="13">
        <f t="shared" si="55"/>
        <v>1800</v>
      </c>
      <c r="AG58" s="28" t="s">
        <v>73</v>
      </c>
    </row>
    <row r="59" spans="1:33" x14ac:dyDescent="0.25">
      <c r="A59" s="10" t="e">
        <f>IF(#REF!=0,"Hide","Show")</f>
        <v>#REF!</v>
      </c>
      <c r="B59" s="32" t="s">
        <v>71</v>
      </c>
      <c r="C59" s="33" t="s">
        <v>140</v>
      </c>
      <c r="D59" s="34">
        <v>6</v>
      </c>
      <c r="E59" s="34">
        <v>750</v>
      </c>
      <c r="F59" s="34" t="s">
        <v>93</v>
      </c>
      <c r="G59" s="34" t="s">
        <v>137</v>
      </c>
      <c r="H59" s="35" t="s">
        <v>145</v>
      </c>
      <c r="I59" s="35" t="s">
        <v>134</v>
      </c>
      <c r="J59" s="13" t="s">
        <v>75</v>
      </c>
      <c r="K59" s="13" t="s">
        <v>34</v>
      </c>
      <c r="L59" s="13" t="s">
        <v>34</v>
      </c>
      <c r="M59" s="13" t="s">
        <v>34</v>
      </c>
      <c r="N59" s="9">
        <v>13.5</v>
      </c>
      <c r="O59" s="13" t="str">
        <f t="shared" ref="O59" si="102">IF(LEN(Q59)=12,"UPC",IF(LEN(Q59)&gt;12,"EAN",""))</f>
        <v/>
      </c>
      <c r="P59" s="13" t="str">
        <f t="shared" ref="P59" si="103">IF(ISNUMBER(SEARCH("Gift",AG59)),"Gift Box","")</f>
        <v/>
      </c>
      <c r="Q59" s="36" t="s">
        <v>91</v>
      </c>
      <c r="R59" s="36" t="s">
        <v>22</v>
      </c>
      <c r="S59" s="22">
        <v>0</v>
      </c>
      <c r="T59" s="22">
        <v>0</v>
      </c>
      <c r="U59" s="22">
        <v>3.33</v>
      </c>
      <c r="V59" s="22">
        <v>13</v>
      </c>
      <c r="W59" s="22">
        <v>10</v>
      </c>
      <c r="X59" s="22">
        <v>8</v>
      </c>
      <c r="Y59" s="13">
        <v>20</v>
      </c>
      <c r="Z59" s="22">
        <f t="shared" ref="Z59" si="104">IF(V59&gt;0,(V59*W59*X59)/1728,"")</f>
        <v>0.60185185185185186</v>
      </c>
      <c r="AA59" s="13">
        <v>15</v>
      </c>
      <c r="AB59" s="13">
        <v>6</v>
      </c>
      <c r="AC59" s="13">
        <v>90</v>
      </c>
      <c r="AD59" s="13">
        <f t="shared" ref="AD59" si="105">IF(AB59&gt;0,AB59*X59,"")</f>
        <v>48</v>
      </c>
      <c r="AE59" s="13">
        <f t="shared" ref="AE59" si="106">IF(Y59&gt;0,Y59*(AA59*AB59),"")</f>
        <v>1800</v>
      </c>
      <c r="AG59" s="28" t="s">
        <v>73</v>
      </c>
    </row>
    <row r="60" spans="1:33" x14ac:dyDescent="0.25">
      <c r="A60" s="10" t="e">
        <f>IF(#REF!=0,"Hide","Show")</f>
        <v>#REF!</v>
      </c>
      <c r="B60" s="32" t="s">
        <v>71</v>
      </c>
      <c r="C60" s="33" t="s">
        <v>141</v>
      </c>
      <c r="D60" s="34">
        <v>6</v>
      </c>
      <c r="E60" s="34">
        <v>750</v>
      </c>
      <c r="F60" s="34" t="s">
        <v>108</v>
      </c>
      <c r="G60" s="34" t="s">
        <v>137</v>
      </c>
      <c r="H60" s="35" t="s">
        <v>146</v>
      </c>
      <c r="I60" s="35" t="s">
        <v>134</v>
      </c>
      <c r="J60" s="13" t="s">
        <v>75</v>
      </c>
      <c r="K60" s="13" t="s">
        <v>34</v>
      </c>
      <c r="L60" s="13" t="s">
        <v>34</v>
      </c>
      <c r="M60" s="13" t="s">
        <v>34</v>
      </c>
      <c r="N60" s="9">
        <v>13.5</v>
      </c>
      <c r="O60" s="13" t="str">
        <f t="shared" si="51"/>
        <v/>
      </c>
      <c r="P60" s="13" t="str">
        <f t="shared" si="52"/>
        <v/>
      </c>
      <c r="Q60" s="36" t="s">
        <v>22</v>
      </c>
      <c r="R60" s="36" t="s">
        <v>22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13">
        <v>0</v>
      </c>
      <c r="Z60" s="22" t="str">
        <f t="shared" si="53"/>
        <v/>
      </c>
      <c r="AA60" s="13">
        <v>15</v>
      </c>
      <c r="AB60" s="13">
        <v>6</v>
      </c>
      <c r="AC60" s="13">
        <v>0</v>
      </c>
      <c r="AD60" s="13">
        <f t="shared" si="54"/>
        <v>0</v>
      </c>
      <c r="AE60" s="13" t="str">
        <f t="shared" si="55"/>
        <v/>
      </c>
      <c r="AG60" s="28" t="s">
        <v>73</v>
      </c>
    </row>
    <row r="61" spans="1:33" x14ac:dyDescent="0.25">
      <c r="A61" s="10" t="e">
        <f>IF(#REF!=0,"Hide","Show")</f>
        <v>#REF!</v>
      </c>
      <c r="B61" s="32" t="s">
        <v>71</v>
      </c>
      <c r="C61" s="33" t="s">
        <v>142</v>
      </c>
      <c r="D61" s="34">
        <v>6</v>
      </c>
      <c r="E61" s="34">
        <v>750</v>
      </c>
      <c r="F61" s="34" t="s">
        <v>143</v>
      </c>
      <c r="G61" s="34" t="s">
        <v>137</v>
      </c>
      <c r="H61" s="35" t="s">
        <v>146</v>
      </c>
      <c r="I61" s="35" t="s">
        <v>134</v>
      </c>
      <c r="J61" s="13" t="s">
        <v>75</v>
      </c>
      <c r="K61" s="13" t="s">
        <v>34</v>
      </c>
      <c r="L61" s="13" t="s">
        <v>34</v>
      </c>
      <c r="M61" s="13" t="s">
        <v>34</v>
      </c>
      <c r="N61" s="9">
        <v>13.5</v>
      </c>
      <c r="O61" s="13" t="str">
        <f t="shared" si="51"/>
        <v/>
      </c>
      <c r="P61" s="13" t="str">
        <f t="shared" si="52"/>
        <v/>
      </c>
      <c r="Q61" s="36" t="s">
        <v>22</v>
      </c>
      <c r="R61" s="36" t="s">
        <v>22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13">
        <v>0</v>
      </c>
      <c r="Z61" s="22" t="str">
        <f t="shared" si="53"/>
        <v/>
      </c>
      <c r="AA61" s="13">
        <v>15</v>
      </c>
      <c r="AB61" s="13">
        <v>6</v>
      </c>
      <c r="AC61" s="13">
        <v>0</v>
      </c>
      <c r="AD61" s="13">
        <f t="shared" si="54"/>
        <v>0</v>
      </c>
      <c r="AE61" s="13" t="str">
        <f t="shared" si="55"/>
        <v/>
      </c>
      <c r="AG61" s="28" t="s">
        <v>73</v>
      </c>
    </row>
    <row r="62" spans="1:33" ht="6" customHeight="1" x14ac:dyDescent="0.25">
      <c r="B62" s="15"/>
      <c r="C62" s="12"/>
      <c r="D62" s="12"/>
      <c r="E62" s="12"/>
      <c r="F62" s="19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4"/>
      <c r="T62" s="24"/>
      <c r="U62" s="24"/>
      <c r="V62" s="24"/>
      <c r="W62" s="24"/>
      <c r="X62" s="24"/>
      <c r="Y62" s="12"/>
      <c r="Z62" s="12"/>
      <c r="AA62" s="12"/>
      <c r="AB62" s="12"/>
      <c r="AC62" s="12"/>
      <c r="AD62" s="12"/>
      <c r="AE62" s="12"/>
      <c r="AG62" s="27"/>
    </row>
    <row r="63" spans="1:33" x14ac:dyDescent="0.25">
      <c r="B63" s="21" t="str">
        <f>"NUITS WHITE PREMIER CRU"</f>
        <v>NUITS WHITE PREMIER CRU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23"/>
      <c r="T63" s="23"/>
      <c r="U63" s="23"/>
      <c r="V63" s="23"/>
      <c r="W63" s="23"/>
      <c r="X63" s="23"/>
      <c r="Y63" s="11"/>
      <c r="Z63" s="11"/>
      <c r="AA63" s="11"/>
      <c r="AB63" s="11"/>
      <c r="AC63" s="11"/>
      <c r="AD63" s="11"/>
      <c r="AE63" s="11"/>
      <c r="AG63" s="28"/>
    </row>
    <row r="64" spans="1:33" x14ac:dyDescent="0.25">
      <c r="A64" s="10" t="e">
        <f>IF(#REF!=0,"Hide","Show")</f>
        <v>#REF!</v>
      </c>
      <c r="B64" s="32" t="str">
        <f>"Lucien Le Moine"</f>
        <v>Lucien Le Moine</v>
      </c>
      <c r="C64" s="33" t="str">
        <f>"Nuits-St.-Georges 1er Cru Les Terres Blanches"</f>
        <v>Nuits-St.-Georges 1er Cru Les Terres Blanches</v>
      </c>
      <c r="D64" s="34">
        <v>6</v>
      </c>
      <c r="E64" s="34">
        <v>750</v>
      </c>
      <c r="F64" s="34" t="str">
        <f>"2013"</f>
        <v>2013</v>
      </c>
      <c r="G64" s="34" t="str">
        <f>"White"</f>
        <v>White</v>
      </c>
      <c r="H64" s="35" t="str">
        <f>"NUITS-SAINT-GEORGES"</f>
        <v>NUITS-SAINT-GEORGES</v>
      </c>
      <c r="I64" s="35" t="str">
        <f>"CHARDONNAY"</f>
        <v>CHARDONNAY</v>
      </c>
      <c r="J64" s="13" t="s">
        <v>75</v>
      </c>
      <c r="K64" s="13" t="s">
        <v>34</v>
      </c>
      <c r="L64" s="13" t="s">
        <v>34</v>
      </c>
      <c r="M64" s="13" t="s">
        <v>34</v>
      </c>
      <c r="N64" s="9">
        <v>13</v>
      </c>
      <c r="O64" s="13" t="str">
        <f t="shared" ref="O64" si="107">IF(LEN(Q64)=12,"UPC",IF(LEN(Q64)&gt;12,"EAN",""))</f>
        <v/>
      </c>
      <c r="P64" s="13" t="str">
        <f t="shared" ref="P64" si="108">IF(ISNUMBER(SEARCH("Gift",AG64)),"Gift Box","")</f>
        <v/>
      </c>
      <c r="Q64" s="36"/>
      <c r="R64" s="36"/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13">
        <v>0</v>
      </c>
      <c r="Z64" s="22" t="str">
        <f t="shared" ref="Z64" si="109">IF(V64&gt;0,(V64*W64*X64)/1728,"")</f>
        <v/>
      </c>
      <c r="AA64" s="13">
        <v>15</v>
      </c>
      <c r="AB64" s="13">
        <v>6</v>
      </c>
      <c r="AC64" s="13">
        <v>0</v>
      </c>
      <c r="AD64" s="13">
        <f t="shared" ref="AD64" si="110">IF(AB64&gt;0,AB64*X64,"")</f>
        <v>0</v>
      </c>
      <c r="AE64" s="13" t="str">
        <f t="shared" ref="AE64" si="111">IF(Y64&gt;0,Y64*(AA64*AB64),"")</f>
        <v/>
      </c>
      <c r="AG64" s="28" t="str">
        <f>"6x750ml C"</f>
        <v>6x750ml C</v>
      </c>
    </row>
    <row r="65" spans="1:33" x14ac:dyDescent="0.25">
      <c r="A65" s="10" t="e">
        <f>IF(#REF!=0,"Hide","Show")</f>
        <v>#REF!</v>
      </c>
      <c r="B65" s="32" t="str">
        <f>"Lucien Le Moine"</f>
        <v>Lucien Le Moine</v>
      </c>
      <c r="C65" s="33" t="str">
        <f>"Nuits-St.-Georges 1er Cru Les Terres Blanches"</f>
        <v>Nuits-St.-Georges 1er Cru Les Terres Blanches</v>
      </c>
      <c r="D65" s="34">
        <v>6</v>
      </c>
      <c r="E65" s="34">
        <v>750</v>
      </c>
      <c r="F65" s="34" t="str">
        <f>"2014"</f>
        <v>2014</v>
      </c>
      <c r="G65" s="34" t="str">
        <f>"White"</f>
        <v>White</v>
      </c>
      <c r="H65" s="35" t="str">
        <f>"NUITS-SAINT-GEORGES"</f>
        <v>NUITS-SAINT-GEORGES</v>
      </c>
      <c r="I65" s="35" t="str">
        <f>"CHARDONNAY"</f>
        <v>CHARDONNAY</v>
      </c>
      <c r="J65" s="13" t="s">
        <v>75</v>
      </c>
      <c r="K65" s="13" t="s">
        <v>34</v>
      </c>
      <c r="L65" s="13" t="s">
        <v>34</v>
      </c>
      <c r="M65" s="13" t="s">
        <v>34</v>
      </c>
      <c r="N65" s="9">
        <v>13.5</v>
      </c>
      <c r="O65" s="13" t="str">
        <f t="shared" ref="O65:O66" si="112">IF(LEN(Q65)=12,"UPC",IF(LEN(Q65)&gt;12,"EAN",""))</f>
        <v/>
      </c>
      <c r="P65" s="13" t="str">
        <f t="shared" ref="P65:P66" si="113">IF(ISNUMBER(SEARCH("Gift",AG65)),"Gift Box","")</f>
        <v/>
      </c>
      <c r="Q65" s="36"/>
      <c r="R65" s="36"/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13">
        <v>0</v>
      </c>
      <c r="Z65" s="22" t="str">
        <f t="shared" ref="Z65:Z66" si="114">IF(V65&gt;0,(V65*W65*X65)/1728,"")</f>
        <v/>
      </c>
      <c r="AA65" s="13">
        <v>15</v>
      </c>
      <c r="AB65" s="13">
        <v>6</v>
      </c>
      <c r="AC65" s="13">
        <v>0</v>
      </c>
      <c r="AD65" s="13">
        <f t="shared" ref="AD65:AD66" si="115">IF(AB65&gt;0,AB65*X65,"")</f>
        <v>0</v>
      </c>
      <c r="AE65" s="13" t="str">
        <f t="shared" ref="AE65:AE66" si="116">IF(Y65&gt;0,Y65*(AA65*AB65),"")</f>
        <v/>
      </c>
      <c r="AG65" s="28" t="str">
        <f>"6x750ml C"</f>
        <v>6x750ml C</v>
      </c>
    </row>
    <row r="66" spans="1:33" x14ac:dyDescent="0.25">
      <c r="A66" s="10" t="e">
        <f>IF(#REF!=0,"Hide","Show")</f>
        <v>#REF!</v>
      </c>
      <c r="B66" s="32" t="str">
        <f>"Lucien Le Moine"</f>
        <v>Lucien Le Moine</v>
      </c>
      <c r="C66" s="33" t="str">
        <f>"Nuits-St.-Georges 1er Cru Les Terres Blanches"</f>
        <v>Nuits-St.-Georges 1er Cru Les Terres Blanches</v>
      </c>
      <c r="D66" s="34">
        <v>6</v>
      </c>
      <c r="E66" s="34">
        <v>750</v>
      </c>
      <c r="F66" s="34" t="str">
        <f>"2015"</f>
        <v>2015</v>
      </c>
      <c r="G66" s="34" t="str">
        <f>"White"</f>
        <v>White</v>
      </c>
      <c r="H66" s="35" t="str">
        <f>"NUITS-SAINT-GEORGES"</f>
        <v>NUITS-SAINT-GEORGES</v>
      </c>
      <c r="I66" s="35" t="str">
        <f>"CHARDONNAY"</f>
        <v>CHARDONNAY</v>
      </c>
      <c r="J66" s="13" t="s">
        <v>75</v>
      </c>
      <c r="K66" s="13" t="s">
        <v>34</v>
      </c>
      <c r="L66" s="13" t="s">
        <v>34</v>
      </c>
      <c r="M66" s="13" t="s">
        <v>34</v>
      </c>
      <c r="N66" s="9">
        <v>13.5</v>
      </c>
      <c r="O66" s="13" t="str">
        <f t="shared" si="112"/>
        <v/>
      </c>
      <c r="P66" s="13" t="str">
        <f t="shared" si="113"/>
        <v/>
      </c>
      <c r="Q66" s="36"/>
      <c r="R66" s="36"/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13">
        <v>0</v>
      </c>
      <c r="Z66" s="22" t="str">
        <f t="shared" si="114"/>
        <v/>
      </c>
      <c r="AA66" s="13">
        <v>15</v>
      </c>
      <c r="AB66" s="13">
        <v>6</v>
      </c>
      <c r="AC66" s="13">
        <v>0</v>
      </c>
      <c r="AD66" s="13">
        <f t="shared" si="115"/>
        <v>0</v>
      </c>
      <c r="AE66" s="13" t="str">
        <f t="shared" si="116"/>
        <v/>
      </c>
      <c r="AG66" s="28" t="str">
        <f>"6x750ml C"</f>
        <v>6x750ml C</v>
      </c>
    </row>
    <row r="67" spans="1:33" ht="6" customHeight="1" x14ac:dyDescent="0.25">
      <c r="B67" s="15"/>
      <c r="C67" s="12"/>
      <c r="D67" s="12"/>
      <c r="E67" s="12"/>
      <c r="F67" s="19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24"/>
      <c r="T67" s="24"/>
      <c r="U67" s="24"/>
      <c r="V67" s="24"/>
      <c r="W67" s="24"/>
      <c r="X67" s="24"/>
      <c r="Y67" s="12"/>
      <c r="Z67" s="12"/>
      <c r="AA67" s="12"/>
      <c r="AB67" s="12"/>
      <c r="AC67" s="12"/>
      <c r="AD67" s="12"/>
      <c r="AE67" s="12"/>
      <c r="AG67" s="27"/>
    </row>
    <row r="68" spans="1:33" x14ac:dyDescent="0.25">
      <c r="B68" s="21" t="str">
        <f>"CHABLIS GRAND CRU"</f>
        <v>CHABLIS GRAND CRU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3"/>
      <c r="T68" s="23"/>
      <c r="U68" s="23"/>
      <c r="V68" s="23"/>
      <c r="W68" s="23"/>
      <c r="X68" s="23"/>
      <c r="Y68" s="11"/>
      <c r="Z68" s="11"/>
      <c r="AA68" s="11"/>
      <c r="AB68" s="11"/>
      <c r="AC68" s="11"/>
      <c r="AD68" s="11"/>
      <c r="AE68" s="11"/>
      <c r="AG68" s="28"/>
    </row>
    <row r="69" spans="1:33" x14ac:dyDescent="0.25">
      <c r="A69" s="10" t="e">
        <f>IF(#REF!=0,"Hide","Show")</f>
        <v>#REF!</v>
      </c>
      <c r="B69" s="32" t="s">
        <v>71</v>
      </c>
      <c r="C69" s="33" t="s">
        <v>135</v>
      </c>
      <c r="D69" s="34">
        <v>3</v>
      </c>
      <c r="E69" s="34">
        <v>1500</v>
      </c>
      <c r="F69" s="34" t="s">
        <v>87</v>
      </c>
      <c r="G69" s="34" t="s">
        <v>137</v>
      </c>
      <c r="H69" s="35" t="s">
        <v>138</v>
      </c>
      <c r="I69" s="35" t="s">
        <v>134</v>
      </c>
      <c r="J69" s="13" t="s">
        <v>75</v>
      </c>
      <c r="K69" s="13" t="s">
        <v>34</v>
      </c>
      <c r="L69" s="13" t="s">
        <v>34</v>
      </c>
      <c r="M69" s="13" t="s">
        <v>34</v>
      </c>
      <c r="N69" s="9">
        <v>13.5</v>
      </c>
      <c r="O69" s="13" t="str">
        <f t="shared" ref="O69" si="117">IF(LEN(Q69)=12,"UPC",IF(LEN(Q69)&gt;12,"EAN",""))</f>
        <v/>
      </c>
      <c r="P69" s="13" t="str">
        <f t="shared" ref="P69" si="118">IF(ISNUMBER(SEARCH("Gift",AG69)),"Gift Box","")</f>
        <v/>
      </c>
      <c r="Q69" s="36" t="s">
        <v>22</v>
      </c>
      <c r="R69" s="36" t="s">
        <v>22</v>
      </c>
      <c r="S69" s="22">
        <v>0</v>
      </c>
      <c r="T69" s="22">
        <v>0</v>
      </c>
      <c r="U69" s="22">
        <v>3.33</v>
      </c>
      <c r="V69" s="22">
        <v>13</v>
      </c>
      <c r="W69" s="22">
        <v>10</v>
      </c>
      <c r="X69" s="22">
        <v>8</v>
      </c>
      <c r="Y69" s="13">
        <v>11.49</v>
      </c>
      <c r="Z69" s="22">
        <f t="shared" ref="Z69" si="119">IF(V69&gt;0,(V69*W69*X69)/1728,"")</f>
        <v>0.60185185185185186</v>
      </c>
      <c r="AA69" s="13">
        <v>15</v>
      </c>
      <c r="AB69" s="13">
        <v>6</v>
      </c>
      <c r="AC69" s="13">
        <v>90</v>
      </c>
      <c r="AD69" s="13">
        <f t="shared" ref="AD69" si="120">IF(AB69&gt;0,AB69*X69,"")</f>
        <v>48</v>
      </c>
      <c r="AE69" s="13">
        <f t="shared" ref="AE69" si="121">IF(Y69&gt;0,Y69*(AA69*AB69),"")</f>
        <v>1034.0999999999999</v>
      </c>
      <c r="AG69" s="28" t="s">
        <v>74</v>
      </c>
    </row>
    <row r="70" spans="1:33" ht="6" customHeight="1" x14ac:dyDescent="0.25">
      <c r="B70" s="15"/>
      <c r="C70" s="12"/>
      <c r="D70" s="12"/>
      <c r="E70" s="12"/>
      <c r="F70" s="19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24"/>
      <c r="T70" s="24"/>
      <c r="U70" s="24"/>
      <c r="V70" s="24"/>
      <c r="W70" s="24"/>
      <c r="X70" s="24"/>
      <c r="Y70" s="12"/>
      <c r="Z70" s="12"/>
      <c r="AA70" s="12"/>
      <c r="AB70" s="12"/>
      <c r="AC70" s="12"/>
      <c r="AD70" s="12"/>
      <c r="AE70" s="12"/>
      <c r="AG70" s="27"/>
    </row>
    <row r="71" spans="1:33" x14ac:dyDescent="0.25">
      <c r="B71" s="21" t="str">
        <f>"BEAUNE RED GRAND CRU"</f>
        <v>BEAUNE RED GRAND CRU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23"/>
      <c r="T71" s="23"/>
      <c r="U71" s="23"/>
      <c r="V71" s="23"/>
      <c r="W71" s="23"/>
      <c r="X71" s="23"/>
      <c r="Y71" s="11"/>
      <c r="Z71" s="11"/>
      <c r="AA71" s="11"/>
      <c r="AB71" s="11"/>
      <c r="AC71" s="11"/>
      <c r="AD71" s="11"/>
      <c r="AE71" s="11"/>
      <c r="AG71" s="28"/>
    </row>
    <row r="72" spans="1:33" x14ac:dyDescent="0.25">
      <c r="A72" s="10" t="e">
        <f>IF(#REF!=0,"Hide","Show")</f>
        <v>#REF!</v>
      </c>
      <c r="B72" s="32" t="s">
        <v>71</v>
      </c>
      <c r="C72" s="33" t="s">
        <v>136</v>
      </c>
      <c r="D72" s="34">
        <v>6</v>
      </c>
      <c r="E72" s="34">
        <v>750</v>
      </c>
      <c r="F72" s="34" t="s">
        <v>106</v>
      </c>
      <c r="G72" s="34" t="s">
        <v>77</v>
      </c>
      <c r="H72" s="35" t="s">
        <v>132</v>
      </c>
      <c r="I72" s="35" t="s">
        <v>134</v>
      </c>
      <c r="J72" s="13" t="s">
        <v>75</v>
      </c>
      <c r="K72" s="13" t="s">
        <v>34</v>
      </c>
      <c r="L72" s="13" t="s">
        <v>34</v>
      </c>
      <c r="M72" s="13" t="s">
        <v>34</v>
      </c>
      <c r="N72" s="9">
        <v>13.5</v>
      </c>
      <c r="O72" s="13" t="str">
        <f t="shared" ref="O72" si="122">IF(LEN(Q72)=12,"UPC",IF(LEN(Q72)&gt;12,"EAN",""))</f>
        <v/>
      </c>
      <c r="P72" s="13" t="str">
        <f t="shared" ref="P72" si="123">IF(ISNUMBER(SEARCH("Gift",AG72)),"Gift Box","")</f>
        <v/>
      </c>
      <c r="Q72" s="36" t="s">
        <v>91</v>
      </c>
      <c r="R72" s="36" t="s">
        <v>22</v>
      </c>
      <c r="S72" s="22">
        <v>0</v>
      </c>
      <c r="T72" s="22">
        <v>0</v>
      </c>
      <c r="U72" s="22">
        <v>3.33</v>
      </c>
      <c r="V72" s="22">
        <v>13</v>
      </c>
      <c r="W72" s="22">
        <v>10</v>
      </c>
      <c r="X72" s="22">
        <v>8</v>
      </c>
      <c r="Y72" s="13">
        <v>20</v>
      </c>
      <c r="Z72" s="22">
        <f t="shared" ref="Z72" si="124">IF(V72&gt;0,(V72*W72*X72)/1728,"")</f>
        <v>0.60185185185185186</v>
      </c>
      <c r="AA72" s="13">
        <v>15</v>
      </c>
      <c r="AB72" s="13">
        <v>6</v>
      </c>
      <c r="AC72" s="13">
        <v>90</v>
      </c>
      <c r="AD72" s="13">
        <f t="shared" ref="AD72" si="125">IF(AB72&gt;0,AB72*X72,"")</f>
        <v>48</v>
      </c>
      <c r="AE72" s="13">
        <f t="shared" ref="AE72" si="126">IF(Y72&gt;0,Y72*(AA72*AB72),"")</f>
        <v>1800</v>
      </c>
      <c r="AG72" s="28" t="s">
        <v>73</v>
      </c>
    </row>
    <row r="73" spans="1:33" x14ac:dyDescent="0.25">
      <c r="A73" s="10" t="e">
        <f>IF(#REF!=0,"Hide","Show")</f>
        <v>#REF!</v>
      </c>
      <c r="B73" s="32" t="s">
        <v>71</v>
      </c>
      <c r="C73" s="33" t="s">
        <v>136</v>
      </c>
      <c r="D73" s="34">
        <v>6</v>
      </c>
      <c r="E73" s="34">
        <v>750</v>
      </c>
      <c r="F73" s="34" t="s">
        <v>93</v>
      </c>
      <c r="G73" s="34" t="s">
        <v>77</v>
      </c>
      <c r="H73" s="35" t="s">
        <v>132</v>
      </c>
      <c r="I73" s="35" t="s">
        <v>134</v>
      </c>
      <c r="J73" s="13" t="s">
        <v>75</v>
      </c>
      <c r="K73" s="13" t="s">
        <v>34</v>
      </c>
      <c r="L73" s="13" t="s">
        <v>34</v>
      </c>
      <c r="M73" s="13" t="s">
        <v>34</v>
      </c>
      <c r="N73" s="9">
        <v>13.5</v>
      </c>
      <c r="O73" s="13" t="str">
        <f t="shared" ref="O73" si="127">IF(LEN(Q73)=12,"UPC",IF(LEN(Q73)&gt;12,"EAN",""))</f>
        <v/>
      </c>
      <c r="P73" s="13" t="str">
        <f t="shared" ref="P73" si="128">IF(ISNUMBER(SEARCH("Gift",AG73)),"Gift Box","")</f>
        <v/>
      </c>
      <c r="Q73" s="36" t="s">
        <v>91</v>
      </c>
      <c r="R73" s="36" t="s">
        <v>22</v>
      </c>
      <c r="S73" s="22">
        <v>0</v>
      </c>
      <c r="T73" s="22">
        <v>0</v>
      </c>
      <c r="U73" s="22">
        <v>3.33</v>
      </c>
      <c r="V73" s="22">
        <v>13</v>
      </c>
      <c r="W73" s="22">
        <v>10</v>
      </c>
      <c r="X73" s="22">
        <v>8</v>
      </c>
      <c r="Y73" s="13">
        <v>20</v>
      </c>
      <c r="Z73" s="22">
        <f t="shared" ref="Z73" si="129">IF(V73&gt;0,(V73*W73*X73)/1728,"")</f>
        <v>0.60185185185185186</v>
      </c>
      <c r="AA73" s="13">
        <v>15</v>
      </c>
      <c r="AB73" s="13">
        <v>6</v>
      </c>
      <c r="AC73" s="13">
        <v>90</v>
      </c>
      <c r="AD73" s="13">
        <f t="shared" ref="AD73" si="130">IF(AB73&gt;0,AB73*X73,"")</f>
        <v>48</v>
      </c>
      <c r="AE73" s="13">
        <f t="shared" ref="AE73" si="131">IF(Y73&gt;0,Y73*(AA73*AB73),"")</f>
        <v>1800</v>
      </c>
      <c r="AG73" s="28" t="s">
        <v>73</v>
      </c>
    </row>
    <row r="74" spans="1:33" x14ac:dyDescent="0.25">
      <c r="A74" s="10" t="e">
        <f>IF(#REF!=0,"Hide","Show")</f>
        <v>#REF!</v>
      </c>
      <c r="B74" s="32" t="str">
        <f>"Lucien Le Moine"</f>
        <v>Lucien Le Moine</v>
      </c>
      <c r="C74" s="33" t="str">
        <f>"Corton Renardes Grand Cru"</f>
        <v>Corton Renardes Grand Cru</v>
      </c>
      <c r="D74" s="34">
        <v>6</v>
      </c>
      <c r="E74" s="34">
        <v>750</v>
      </c>
      <c r="F74" s="34" t="str">
        <f>"2011"</f>
        <v>2011</v>
      </c>
      <c r="G74" s="34" t="str">
        <f>"Red"</f>
        <v>Red</v>
      </c>
      <c r="H74" s="35" t="str">
        <f>"CORTON RENARDES"</f>
        <v>CORTON RENARDES</v>
      </c>
      <c r="I74" s="35" t="str">
        <f>"PINOT NOIR"</f>
        <v>PINOT NOIR</v>
      </c>
      <c r="J74" s="13" t="s">
        <v>75</v>
      </c>
      <c r="K74" s="13" t="s">
        <v>34</v>
      </c>
      <c r="L74" s="13" t="s">
        <v>34</v>
      </c>
      <c r="M74" s="13" t="s">
        <v>34</v>
      </c>
      <c r="N74" s="9">
        <v>13</v>
      </c>
      <c r="O74" s="13" t="str">
        <f t="shared" ref="O74:O78" si="132">IF(LEN(Q74)=12,"UPC",IF(LEN(Q74)&gt;12,"EAN",""))</f>
        <v/>
      </c>
      <c r="P74" s="13" t="str">
        <f t="shared" ref="P74:P78" si="133">IF(ISNUMBER(SEARCH("Gift",AG74)),"Gift Box","")</f>
        <v/>
      </c>
      <c r="Q74" s="36" t="str">
        <f>"NO UPC"</f>
        <v>NO UPC</v>
      </c>
      <c r="R74" s="36"/>
      <c r="S74" s="22">
        <v>0</v>
      </c>
      <c r="T74" s="22">
        <v>0</v>
      </c>
      <c r="U74" s="22">
        <v>3.33</v>
      </c>
      <c r="V74" s="22">
        <v>13</v>
      </c>
      <c r="W74" s="22">
        <v>10</v>
      </c>
      <c r="X74" s="22">
        <v>8</v>
      </c>
      <c r="Y74" s="13">
        <v>20</v>
      </c>
      <c r="Z74" s="22">
        <f t="shared" ref="Z74:Z78" si="134">IF(V74&gt;0,(V74*W74*X74)/1728,"")</f>
        <v>0.60185185185185186</v>
      </c>
      <c r="AA74" s="13">
        <v>15</v>
      </c>
      <c r="AB74" s="13">
        <v>6</v>
      </c>
      <c r="AC74" s="13">
        <v>90</v>
      </c>
      <c r="AD74" s="13">
        <f t="shared" ref="AD74:AD78" si="135">IF(AB74&gt;0,AB74*X74,"")</f>
        <v>48</v>
      </c>
      <c r="AE74" s="13">
        <f t="shared" ref="AE74:AE78" si="136">IF(Y74&gt;0,Y74*(AA74*AB74),"")</f>
        <v>1800</v>
      </c>
      <c r="AG74" s="28" t="str">
        <f>"6x750ml C"</f>
        <v>6x750ml C</v>
      </c>
    </row>
    <row r="75" spans="1:33" x14ac:dyDescent="0.25">
      <c r="A75" s="10" t="e">
        <f>IF(#REF!=0,"Hide","Show")</f>
        <v>#REF!</v>
      </c>
      <c r="B75" s="32" t="str">
        <f>"Lucien Le Moine"</f>
        <v>Lucien Le Moine</v>
      </c>
      <c r="C75" s="33" t="str">
        <f>"Corton Renardes Grand Cru"</f>
        <v>Corton Renardes Grand Cru</v>
      </c>
      <c r="D75" s="34">
        <v>6</v>
      </c>
      <c r="E75" s="34">
        <v>750</v>
      </c>
      <c r="F75" s="34" t="str">
        <f>"2012"</f>
        <v>2012</v>
      </c>
      <c r="G75" s="34" t="str">
        <f>"Red"</f>
        <v>Red</v>
      </c>
      <c r="H75" s="35" t="str">
        <f>"CORTON RENARDES"</f>
        <v>CORTON RENARDES</v>
      </c>
      <c r="I75" s="35" t="str">
        <f>"PINOT NOIR"</f>
        <v>PINOT NOIR</v>
      </c>
      <c r="J75" s="13" t="s">
        <v>75</v>
      </c>
      <c r="K75" s="13" t="s">
        <v>34</v>
      </c>
      <c r="L75" s="13" t="s">
        <v>34</v>
      </c>
      <c r="M75" s="13" t="s">
        <v>34</v>
      </c>
      <c r="N75" s="9">
        <v>13</v>
      </c>
      <c r="O75" s="13" t="str">
        <f t="shared" ref="O75:O77" si="137">IF(LEN(Q75)=12,"UPC",IF(LEN(Q75)&gt;12,"EAN",""))</f>
        <v/>
      </c>
      <c r="P75" s="13" t="str">
        <f t="shared" ref="P75:P77" si="138">IF(ISNUMBER(SEARCH("Gift",AG75)),"Gift Box","")</f>
        <v/>
      </c>
      <c r="Q75" s="36" t="str">
        <f>"NO UPC"</f>
        <v>NO UPC</v>
      </c>
      <c r="R75" s="36"/>
      <c r="S75" s="22">
        <v>0</v>
      </c>
      <c r="T75" s="22">
        <v>0</v>
      </c>
      <c r="U75" s="22">
        <v>3.33</v>
      </c>
      <c r="V75" s="22">
        <v>13</v>
      </c>
      <c r="W75" s="22">
        <v>10</v>
      </c>
      <c r="X75" s="22">
        <v>8</v>
      </c>
      <c r="Y75" s="13">
        <v>20</v>
      </c>
      <c r="Z75" s="22">
        <f t="shared" ref="Z75:Z77" si="139">IF(V75&gt;0,(V75*W75*X75)/1728,"")</f>
        <v>0.60185185185185186</v>
      </c>
      <c r="AA75" s="13">
        <v>15</v>
      </c>
      <c r="AB75" s="13">
        <v>6</v>
      </c>
      <c r="AC75" s="13">
        <v>90</v>
      </c>
      <c r="AD75" s="13">
        <f t="shared" ref="AD75:AD77" si="140">IF(AB75&gt;0,AB75*X75,"")</f>
        <v>48</v>
      </c>
      <c r="AE75" s="13">
        <f t="shared" ref="AE75:AE77" si="141">IF(Y75&gt;0,Y75*(AA75*AB75),"")</f>
        <v>1800</v>
      </c>
      <c r="AG75" s="28" t="str">
        <f>"6x750ml C"</f>
        <v>6x750ml C</v>
      </c>
    </row>
    <row r="76" spans="1:33" x14ac:dyDescent="0.25">
      <c r="A76" s="10" t="e">
        <f>IF(#REF!=0,"Hide","Show")</f>
        <v>#REF!</v>
      </c>
      <c r="B76" s="32" t="str">
        <f>"Lucien Le Moine"</f>
        <v>Lucien Le Moine</v>
      </c>
      <c r="C76" s="33" t="str">
        <f>"Corton Renardes Grand Cru"</f>
        <v>Corton Renardes Grand Cru</v>
      </c>
      <c r="D76" s="34">
        <v>6</v>
      </c>
      <c r="E76" s="34">
        <v>750</v>
      </c>
      <c r="F76" s="34" t="str">
        <f>"2013"</f>
        <v>2013</v>
      </c>
      <c r="G76" s="34" t="str">
        <f>"Red"</f>
        <v>Red</v>
      </c>
      <c r="H76" s="35" t="str">
        <f>"CORTON RENARDES"</f>
        <v>CORTON RENARDES</v>
      </c>
      <c r="I76" s="35" t="str">
        <f>"PINOT NOIR"</f>
        <v>PINOT NOIR</v>
      </c>
      <c r="J76" s="13" t="s">
        <v>75</v>
      </c>
      <c r="K76" s="13" t="s">
        <v>34</v>
      </c>
      <c r="L76" s="13" t="s">
        <v>34</v>
      </c>
      <c r="M76" s="13" t="s">
        <v>34</v>
      </c>
      <c r="N76" s="9">
        <v>13</v>
      </c>
      <c r="O76" s="13" t="str">
        <f t="shared" si="137"/>
        <v/>
      </c>
      <c r="P76" s="13" t="str">
        <f t="shared" si="138"/>
        <v/>
      </c>
      <c r="Q76" s="36" t="str">
        <f>"NO UPC"</f>
        <v>NO UPC</v>
      </c>
      <c r="R76" s="36"/>
      <c r="S76" s="22">
        <v>0</v>
      </c>
      <c r="T76" s="22">
        <v>0</v>
      </c>
      <c r="U76" s="22">
        <v>3.33</v>
      </c>
      <c r="V76" s="22">
        <v>13</v>
      </c>
      <c r="W76" s="22">
        <v>10</v>
      </c>
      <c r="X76" s="22">
        <v>8</v>
      </c>
      <c r="Y76" s="13">
        <v>20</v>
      </c>
      <c r="Z76" s="22">
        <f t="shared" si="139"/>
        <v>0.60185185185185186</v>
      </c>
      <c r="AA76" s="13">
        <v>15</v>
      </c>
      <c r="AB76" s="13">
        <v>6</v>
      </c>
      <c r="AC76" s="13">
        <v>90</v>
      </c>
      <c r="AD76" s="13">
        <f t="shared" si="140"/>
        <v>48</v>
      </c>
      <c r="AE76" s="13">
        <f t="shared" si="141"/>
        <v>1800</v>
      </c>
      <c r="AG76" s="28" t="str">
        <f>"6x750ml C"</f>
        <v>6x750ml C</v>
      </c>
    </row>
    <row r="77" spans="1:33" x14ac:dyDescent="0.25">
      <c r="A77" s="10" t="e">
        <f>IF(#REF!=0,"Hide","Show")</f>
        <v>#REF!</v>
      </c>
      <c r="B77" s="32" t="str">
        <f>"Lucien Le Moine"</f>
        <v>Lucien Le Moine</v>
      </c>
      <c r="C77" s="33" t="str">
        <f>"Corton Renardes Grand Cru"</f>
        <v>Corton Renardes Grand Cru</v>
      </c>
      <c r="D77" s="34">
        <v>6</v>
      </c>
      <c r="E77" s="34">
        <v>750</v>
      </c>
      <c r="F77" s="34" t="str">
        <f>"2014"</f>
        <v>2014</v>
      </c>
      <c r="G77" s="34" t="str">
        <f>"Red"</f>
        <v>Red</v>
      </c>
      <c r="H77" s="35" t="str">
        <f>"CORTON RENARDES"</f>
        <v>CORTON RENARDES</v>
      </c>
      <c r="I77" s="35" t="str">
        <f>"PINOT NOIR"</f>
        <v>PINOT NOIR</v>
      </c>
      <c r="J77" s="13" t="s">
        <v>75</v>
      </c>
      <c r="K77" s="13" t="s">
        <v>34</v>
      </c>
      <c r="L77" s="13" t="s">
        <v>34</v>
      </c>
      <c r="M77" s="13" t="s">
        <v>34</v>
      </c>
      <c r="N77" s="9">
        <v>13.5</v>
      </c>
      <c r="O77" s="13" t="str">
        <f t="shared" si="137"/>
        <v/>
      </c>
      <c r="P77" s="13" t="str">
        <f t="shared" si="138"/>
        <v/>
      </c>
      <c r="Q77" s="36" t="str">
        <f>"NO UPC"</f>
        <v>NO UPC</v>
      </c>
      <c r="R77" s="36"/>
      <c r="S77" s="22">
        <v>0</v>
      </c>
      <c r="T77" s="22">
        <v>0</v>
      </c>
      <c r="U77" s="22">
        <v>3.33</v>
      </c>
      <c r="V77" s="22">
        <v>13</v>
      </c>
      <c r="W77" s="22">
        <v>10</v>
      </c>
      <c r="X77" s="22">
        <v>8</v>
      </c>
      <c r="Y77" s="13">
        <v>20</v>
      </c>
      <c r="Z77" s="22">
        <f t="shared" si="139"/>
        <v>0.60185185185185186</v>
      </c>
      <c r="AA77" s="13">
        <v>15</v>
      </c>
      <c r="AB77" s="13">
        <v>6</v>
      </c>
      <c r="AC77" s="13">
        <v>90</v>
      </c>
      <c r="AD77" s="13">
        <f t="shared" si="140"/>
        <v>48</v>
      </c>
      <c r="AE77" s="13">
        <f t="shared" si="141"/>
        <v>1800</v>
      </c>
      <c r="AG77" s="28" t="str">
        <f>"6x750ml C"</f>
        <v>6x750ml C</v>
      </c>
    </row>
    <row r="78" spans="1:33" x14ac:dyDescent="0.25">
      <c r="A78" s="10" t="e">
        <f>IF(#REF!=0,"Hide","Show")</f>
        <v>#REF!</v>
      </c>
      <c r="B78" s="32" t="s">
        <v>71</v>
      </c>
      <c r="C78" s="33" t="s">
        <v>130</v>
      </c>
      <c r="D78" s="34">
        <v>6</v>
      </c>
      <c r="E78" s="34">
        <v>750</v>
      </c>
      <c r="F78" s="34" t="s">
        <v>86</v>
      </c>
      <c r="G78" s="34" t="s">
        <v>77</v>
      </c>
      <c r="H78" s="35" t="s">
        <v>132</v>
      </c>
      <c r="I78" s="35" t="s">
        <v>134</v>
      </c>
      <c r="J78" s="13" t="s">
        <v>75</v>
      </c>
      <c r="K78" s="13" t="s">
        <v>34</v>
      </c>
      <c r="L78" s="13" t="s">
        <v>34</v>
      </c>
      <c r="M78" s="13" t="s">
        <v>34</v>
      </c>
      <c r="N78" s="9">
        <v>13.5</v>
      </c>
      <c r="O78" s="13" t="str">
        <f t="shared" si="132"/>
        <v/>
      </c>
      <c r="P78" s="13" t="str">
        <f t="shared" si="133"/>
        <v/>
      </c>
      <c r="Q78" s="36" t="s">
        <v>91</v>
      </c>
      <c r="R78" s="36" t="s">
        <v>22</v>
      </c>
      <c r="S78" s="22">
        <v>0</v>
      </c>
      <c r="T78" s="22">
        <v>0</v>
      </c>
      <c r="U78" s="22">
        <v>3.33</v>
      </c>
      <c r="V78" s="22">
        <v>13</v>
      </c>
      <c r="W78" s="22">
        <v>10</v>
      </c>
      <c r="X78" s="22">
        <v>8</v>
      </c>
      <c r="Y78" s="13">
        <v>20</v>
      </c>
      <c r="Z78" s="22">
        <f t="shared" si="134"/>
        <v>0.60185185185185186</v>
      </c>
      <c r="AA78" s="13">
        <v>15</v>
      </c>
      <c r="AB78" s="13">
        <v>6</v>
      </c>
      <c r="AC78" s="13">
        <v>90</v>
      </c>
      <c r="AD78" s="13">
        <f t="shared" si="135"/>
        <v>48</v>
      </c>
      <c r="AE78" s="13">
        <f t="shared" si="136"/>
        <v>1800</v>
      </c>
      <c r="AG78" s="28" t="s">
        <v>73</v>
      </c>
    </row>
    <row r="79" spans="1:33" ht="6" customHeight="1" x14ac:dyDescent="0.25">
      <c r="B79" s="15"/>
      <c r="C79" s="12"/>
      <c r="D79" s="12"/>
      <c r="E79" s="12"/>
      <c r="F79" s="19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24"/>
      <c r="T79" s="24"/>
      <c r="U79" s="24"/>
      <c r="V79" s="24"/>
      <c r="W79" s="24"/>
      <c r="X79" s="24"/>
      <c r="Y79" s="12"/>
      <c r="Z79" s="12"/>
      <c r="AA79" s="12"/>
      <c r="AB79" s="12"/>
      <c r="AC79" s="12"/>
      <c r="AD79" s="12"/>
      <c r="AE79" s="12"/>
      <c r="AG79" s="27"/>
    </row>
    <row r="80" spans="1:33" x14ac:dyDescent="0.25">
      <c r="B80" s="21" t="str">
        <f>"BEAUNE RED PREMIER CRU"</f>
        <v>BEAUNE RED PREMIER CRU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23"/>
      <c r="T80" s="23"/>
      <c r="U80" s="23"/>
      <c r="V80" s="23"/>
      <c r="W80" s="23"/>
      <c r="X80" s="23"/>
      <c r="Y80" s="11"/>
      <c r="Z80" s="11"/>
      <c r="AA80" s="11"/>
      <c r="AB80" s="11"/>
      <c r="AC80" s="11"/>
      <c r="AD80" s="11"/>
      <c r="AE80" s="11"/>
      <c r="AG80" s="28"/>
    </row>
    <row r="81" spans="1:33" x14ac:dyDescent="0.25">
      <c r="A81" s="10" t="e">
        <f>IF(#REF!=0,"Hide","Show")</f>
        <v>#REF!</v>
      </c>
      <c r="B81" s="32" t="s">
        <v>71</v>
      </c>
      <c r="C81" s="33" t="s">
        <v>131</v>
      </c>
      <c r="D81" s="34">
        <v>6</v>
      </c>
      <c r="E81" s="34">
        <v>750</v>
      </c>
      <c r="F81" s="34" t="s">
        <v>86</v>
      </c>
      <c r="G81" s="34" t="s">
        <v>77</v>
      </c>
      <c r="H81" s="35" t="s">
        <v>133</v>
      </c>
      <c r="I81" s="35" t="s">
        <v>76</v>
      </c>
      <c r="J81" s="13" t="s">
        <v>75</v>
      </c>
      <c r="K81" s="13" t="s">
        <v>34</v>
      </c>
      <c r="L81" s="13" t="s">
        <v>34</v>
      </c>
      <c r="M81" s="13" t="s">
        <v>34</v>
      </c>
      <c r="N81" s="9">
        <v>13</v>
      </c>
      <c r="O81" s="13" t="str">
        <f t="shared" ref="O81" si="142">IF(LEN(Q81)=12,"UPC",IF(LEN(Q81)&gt;12,"EAN",""))</f>
        <v/>
      </c>
      <c r="P81" s="13" t="str">
        <f t="shared" ref="P81" si="143">IF(ISNUMBER(SEARCH("Gift",AG81)),"Gift Box","")</f>
        <v/>
      </c>
      <c r="Q81" s="36" t="s">
        <v>91</v>
      </c>
      <c r="R81" s="36" t="s">
        <v>22</v>
      </c>
      <c r="S81" s="22">
        <v>0</v>
      </c>
      <c r="T81" s="22">
        <v>0</v>
      </c>
      <c r="U81" s="22">
        <v>3.33</v>
      </c>
      <c r="V81" s="22">
        <v>13</v>
      </c>
      <c r="W81" s="22">
        <v>10</v>
      </c>
      <c r="X81" s="22">
        <v>8</v>
      </c>
      <c r="Y81" s="13">
        <v>20</v>
      </c>
      <c r="Z81" s="22">
        <f t="shared" ref="Z81" si="144">IF(V81&gt;0,(V81*W81*X81)/1728,"")</f>
        <v>0.60185185185185186</v>
      </c>
      <c r="AA81" s="13">
        <v>15</v>
      </c>
      <c r="AB81" s="13">
        <v>6</v>
      </c>
      <c r="AC81" s="13">
        <v>90</v>
      </c>
      <c r="AD81" s="13">
        <f t="shared" ref="AD81" si="145">IF(AB81&gt;0,AB81*X81,"")</f>
        <v>48</v>
      </c>
      <c r="AE81" s="13">
        <f t="shared" ref="AE81" si="146">IF(Y81&gt;0,Y81*(AA81*AB81),"")</f>
        <v>1800</v>
      </c>
      <c r="AG81" s="28" t="s">
        <v>73</v>
      </c>
    </row>
    <row r="82" spans="1:33" x14ac:dyDescent="0.25">
      <c r="A82" s="10" t="e">
        <f>IF(#REF!=0,"Hide","Show")</f>
        <v>#REF!</v>
      </c>
      <c r="B82" s="32" t="s">
        <v>71</v>
      </c>
      <c r="C82" s="33" t="s">
        <v>131</v>
      </c>
      <c r="D82" s="34">
        <v>6</v>
      </c>
      <c r="E82" s="34">
        <v>750</v>
      </c>
      <c r="F82" s="34" t="s">
        <v>107</v>
      </c>
      <c r="G82" s="34" t="s">
        <v>77</v>
      </c>
      <c r="H82" s="35" t="s">
        <v>133</v>
      </c>
      <c r="I82" s="35" t="s">
        <v>76</v>
      </c>
      <c r="J82" s="13" t="s">
        <v>75</v>
      </c>
      <c r="K82" s="13" t="s">
        <v>34</v>
      </c>
      <c r="L82" s="13" t="s">
        <v>34</v>
      </c>
      <c r="M82" s="13" t="s">
        <v>34</v>
      </c>
      <c r="N82" s="9">
        <v>13.5</v>
      </c>
      <c r="O82" s="13" t="str">
        <f t="shared" ref="O82" si="147">IF(LEN(Q82)=12,"UPC",IF(LEN(Q82)&gt;12,"EAN",""))</f>
        <v/>
      </c>
      <c r="P82" s="13" t="str">
        <f t="shared" ref="P82" si="148">IF(ISNUMBER(SEARCH("Gift",AG82)),"Gift Box","")</f>
        <v/>
      </c>
      <c r="Q82" s="36" t="s">
        <v>91</v>
      </c>
      <c r="R82" s="36" t="s">
        <v>22</v>
      </c>
      <c r="S82" s="22">
        <v>0</v>
      </c>
      <c r="T82" s="22">
        <v>0</v>
      </c>
      <c r="U82" s="22">
        <v>3.33</v>
      </c>
      <c r="V82" s="22">
        <v>13</v>
      </c>
      <c r="W82" s="22">
        <v>10</v>
      </c>
      <c r="X82" s="22">
        <v>8</v>
      </c>
      <c r="Y82" s="13">
        <v>20</v>
      </c>
      <c r="Z82" s="22">
        <f t="shared" ref="Z82" si="149">IF(V82&gt;0,(V82*W82*X82)/1728,"")</f>
        <v>0.60185185185185186</v>
      </c>
      <c r="AA82" s="13">
        <v>15</v>
      </c>
      <c r="AB82" s="13">
        <v>6</v>
      </c>
      <c r="AC82" s="13">
        <v>90</v>
      </c>
      <c r="AD82" s="13">
        <f t="shared" ref="AD82" si="150">IF(AB82&gt;0,AB82*X82,"")</f>
        <v>48</v>
      </c>
      <c r="AE82" s="13">
        <f t="shared" ref="AE82" si="151">IF(Y82&gt;0,Y82*(AA82*AB82),"")</f>
        <v>1800</v>
      </c>
      <c r="AG82" s="28" t="s">
        <v>73</v>
      </c>
    </row>
    <row r="83" spans="1:33" x14ac:dyDescent="0.25">
      <c r="A83" s="10" t="e">
        <f>IF(#REF!=0,"Hide","Show")</f>
        <v>#REF!</v>
      </c>
      <c r="B83" s="32" t="str">
        <f t="shared" ref="B83:B97" si="152">"Lucien Le Moine"</f>
        <v>Lucien Le Moine</v>
      </c>
      <c r="C83" s="33" t="str">
        <f>"Chassagne-Montrachet 1er Cru Morgeot Rouge"</f>
        <v>Chassagne-Montrachet 1er Cru Morgeot Rouge</v>
      </c>
      <c r="D83" s="34">
        <v>6</v>
      </c>
      <c r="E83" s="34">
        <v>750</v>
      </c>
      <c r="F83" s="34" t="str">
        <f>"2012"</f>
        <v>2012</v>
      </c>
      <c r="G83" s="34" t="str">
        <f>"White"</f>
        <v>White</v>
      </c>
      <c r="H83" s="35" t="str">
        <f>"CHASSAGNE-MONTRACHET"</f>
        <v>CHASSAGNE-MONTRACHET</v>
      </c>
      <c r="I83" s="35" t="str">
        <f t="shared" ref="I83:I97" si="153">"PINOT NOIR"</f>
        <v>PINOT NOIR</v>
      </c>
      <c r="J83" s="13" t="s">
        <v>75</v>
      </c>
      <c r="K83" s="13" t="s">
        <v>34</v>
      </c>
      <c r="L83" s="13" t="s">
        <v>34</v>
      </c>
      <c r="M83" s="13" t="s">
        <v>34</v>
      </c>
      <c r="N83" s="9">
        <v>13.5</v>
      </c>
      <c r="O83" s="13" t="str">
        <f t="shared" ref="O83:O108" si="154">IF(LEN(Q83)=12,"UPC",IF(LEN(Q83)&gt;12,"EAN",""))</f>
        <v/>
      </c>
      <c r="P83" s="13" t="str">
        <f t="shared" ref="P83:P108" si="155">IF(ISNUMBER(SEARCH("Gift",AG83)),"Gift Box","")</f>
        <v/>
      </c>
      <c r="Q83" s="36" t="str">
        <f t="shared" ref="Q83:Q97" si="156">"NO UPC"</f>
        <v>NO UPC</v>
      </c>
      <c r="R83" s="36"/>
      <c r="S83" s="22">
        <v>0</v>
      </c>
      <c r="T83" s="22">
        <v>0</v>
      </c>
      <c r="U83" s="22">
        <v>3.33</v>
      </c>
      <c r="V83" s="22">
        <v>13</v>
      </c>
      <c r="W83" s="22">
        <v>10</v>
      </c>
      <c r="X83" s="22">
        <v>8</v>
      </c>
      <c r="Y83" s="13">
        <v>20</v>
      </c>
      <c r="Z83" s="22">
        <f t="shared" ref="Z83:Z108" si="157">IF(V83&gt;0,(V83*W83*X83)/1728,"")</f>
        <v>0.60185185185185186</v>
      </c>
      <c r="AA83" s="13">
        <v>15</v>
      </c>
      <c r="AB83" s="13">
        <v>6</v>
      </c>
      <c r="AC83" s="13">
        <v>90</v>
      </c>
      <c r="AD83" s="13">
        <f t="shared" ref="AD83:AD108" si="158">IF(AB83&gt;0,AB83*X83,"")</f>
        <v>48</v>
      </c>
      <c r="AE83" s="13">
        <f t="shared" ref="AE83:AE108" si="159">IF(Y83&gt;0,Y83*(AA83*AB83),"")</f>
        <v>1800</v>
      </c>
      <c r="AG83" s="28" t="str">
        <f>"6x750ml C"</f>
        <v>6x750ml C</v>
      </c>
    </row>
    <row r="84" spans="1:33" x14ac:dyDescent="0.25">
      <c r="A84" s="10" t="e">
        <f>IF(#REF!=0,"Hide","Show")</f>
        <v>#REF!</v>
      </c>
      <c r="B84" s="32" t="str">
        <f t="shared" si="152"/>
        <v>Lucien Le Moine</v>
      </c>
      <c r="C84" s="33" t="str">
        <f>"Chassagne-Montrachet 1er Cru Morgeot Rouge"</f>
        <v>Chassagne-Montrachet 1er Cru Morgeot Rouge</v>
      </c>
      <c r="D84" s="34">
        <v>3</v>
      </c>
      <c r="E84" s="34">
        <v>1500</v>
      </c>
      <c r="F84" s="34" t="str">
        <f>"2012"</f>
        <v>2012</v>
      </c>
      <c r="G84" s="34" t="str">
        <f t="shared" ref="G84:G97" si="160">"Red"</f>
        <v>Red</v>
      </c>
      <c r="H84" s="35" t="str">
        <f>"CHASSAGNE-MONTRACHET"</f>
        <v>CHASSAGNE-MONTRACHET</v>
      </c>
      <c r="I84" s="35" t="str">
        <f t="shared" si="153"/>
        <v>PINOT NOIR</v>
      </c>
      <c r="J84" s="13" t="s">
        <v>75</v>
      </c>
      <c r="K84" s="13" t="s">
        <v>34</v>
      </c>
      <c r="L84" s="13" t="s">
        <v>34</v>
      </c>
      <c r="M84" s="13" t="s">
        <v>34</v>
      </c>
      <c r="N84" s="9">
        <v>13.5</v>
      </c>
      <c r="O84" s="13" t="str">
        <f t="shared" ref="O84:O87" si="161">IF(LEN(Q84)=12,"UPC",IF(LEN(Q84)&gt;12,"EAN",""))</f>
        <v/>
      </c>
      <c r="P84" s="13" t="str">
        <f t="shared" ref="P84:P87" si="162">IF(ISNUMBER(SEARCH("Gift",AG84)),"Gift Box","")</f>
        <v/>
      </c>
      <c r="Q84" s="36" t="str">
        <f t="shared" si="156"/>
        <v>NO UPC</v>
      </c>
      <c r="R84" s="36"/>
      <c r="S84" s="22">
        <v>0</v>
      </c>
      <c r="T84" s="22">
        <v>0</v>
      </c>
      <c r="U84" s="22">
        <v>3.33</v>
      </c>
      <c r="V84" s="22">
        <v>13</v>
      </c>
      <c r="W84" s="22">
        <v>10</v>
      </c>
      <c r="X84" s="22">
        <v>8</v>
      </c>
      <c r="Y84" s="13">
        <v>0</v>
      </c>
      <c r="Z84" s="22">
        <f t="shared" ref="Z84:Z87" si="163">IF(V84&gt;0,(V84*W84*X84)/1728,"")</f>
        <v>0.60185185185185186</v>
      </c>
      <c r="AA84" s="13">
        <v>15</v>
      </c>
      <c r="AB84" s="13">
        <v>6</v>
      </c>
      <c r="AC84" s="13">
        <v>90</v>
      </c>
      <c r="AD84" s="13">
        <f t="shared" ref="AD84:AD87" si="164">IF(AB84&gt;0,AB84*X84,"")</f>
        <v>48</v>
      </c>
      <c r="AE84" s="13" t="str">
        <f t="shared" ref="AE84:AE87" si="165">IF(Y84&gt;0,Y84*(AA84*AB84),"")</f>
        <v/>
      </c>
      <c r="AG84" s="28" t="str">
        <f>"3x1.5L C"</f>
        <v>3x1.5L C</v>
      </c>
    </row>
    <row r="85" spans="1:33" x14ac:dyDescent="0.25">
      <c r="A85" s="10" t="e">
        <f>IF(#REF!=0,"Hide","Show")</f>
        <v>#REF!</v>
      </c>
      <c r="B85" s="32" t="str">
        <f t="shared" si="152"/>
        <v>Lucien Le Moine</v>
      </c>
      <c r="C85" s="33" t="str">
        <f>"Chassagne-Montrachet 1er Cru Morgeot Rouge"</f>
        <v>Chassagne-Montrachet 1er Cru Morgeot Rouge</v>
      </c>
      <c r="D85" s="34">
        <v>6</v>
      </c>
      <c r="E85" s="34">
        <v>750</v>
      </c>
      <c r="F85" s="34" t="str">
        <f>"2013"</f>
        <v>2013</v>
      </c>
      <c r="G85" s="34" t="str">
        <f t="shared" si="160"/>
        <v>Red</v>
      </c>
      <c r="H85" s="35" t="str">
        <f>"CHASSAGNE-MONTRACHET"</f>
        <v>CHASSAGNE-MONTRACHET</v>
      </c>
      <c r="I85" s="35" t="str">
        <f t="shared" si="153"/>
        <v>PINOT NOIR</v>
      </c>
      <c r="J85" s="13" t="s">
        <v>75</v>
      </c>
      <c r="K85" s="13" t="s">
        <v>34</v>
      </c>
      <c r="L85" s="13" t="s">
        <v>34</v>
      </c>
      <c r="M85" s="13" t="s">
        <v>34</v>
      </c>
      <c r="N85" s="9">
        <v>13</v>
      </c>
      <c r="O85" s="13" t="str">
        <f t="shared" si="161"/>
        <v/>
      </c>
      <c r="P85" s="13" t="str">
        <f t="shared" si="162"/>
        <v/>
      </c>
      <c r="Q85" s="36" t="str">
        <f t="shared" si="156"/>
        <v>NO UPC</v>
      </c>
      <c r="R85" s="36"/>
      <c r="S85" s="22">
        <v>0</v>
      </c>
      <c r="T85" s="22">
        <v>0</v>
      </c>
      <c r="U85" s="22">
        <v>3.33</v>
      </c>
      <c r="V85" s="22">
        <v>13</v>
      </c>
      <c r="W85" s="22">
        <v>10</v>
      </c>
      <c r="X85" s="22">
        <v>8</v>
      </c>
      <c r="Y85" s="13">
        <v>20</v>
      </c>
      <c r="Z85" s="22">
        <f t="shared" si="163"/>
        <v>0.60185185185185186</v>
      </c>
      <c r="AA85" s="13">
        <v>15</v>
      </c>
      <c r="AB85" s="13">
        <v>6</v>
      </c>
      <c r="AC85" s="13">
        <v>90</v>
      </c>
      <c r="AD85" s="13">
        <f t="shared" si="164"/>
        <v>48</v>
      </c>
      <c r="AE85" s="13">
        <f t="shared" si="165"/>
        <v>1800</v>
      </c>
      <c r="AG85" s="28" t="str">
        <f t="shared" ref="AG85:AG93" si="166">"6x750ml C"</f>
        <v>6x750ml C</v>
      </c>
    </row>
    <row r="86" spans="1:33" x14ac:dyDescent="0.25">
      <c r="A86" s="10" t="e">
        <f>IF(#REF!=0,"Hide","Show")</f>
        <v>#REF!</v>
      </c>
      <c r="B86" s="32" t="str">
        <f t="shared" si="152"/>
        <v>Lucien Le Moine</v>
      </c>
      <c r="C86" s="33" t="str">
        <f>"Chassagne-Montrachet 1er Cru Morgeot Rouge"</f>
        <v>Chassagne-Montrachet 1er Cru Morgeot Rouge</v>
      </c>
      <c r="D86" s="34">
        <v>6</v>
      </c>
      <c r="E86" s="34">
        <v>750</v>
      </c>
      <c r="F86" s="34" t="str">
        <f>"2014"</f>
        <v>2014</v>
      </c>
      <c r="G86" s="34" t="str">
        <f t="shared" si="160"/>
        <v>Red</v>
      </c>
      <c r="H86" s="35" t="str">
        <f>"CHASSAGNE-MONTRACHET"</f>
        <v>CHASSAGNE-MONTRACHET</v>
      </c>
      <c r="I86" s="35" t="str">
        <f t="shared" si="153"/>
        <v>PINOT NOIR</v>
      </c>
      <c r="J86" s="13" t="s">
        <v>75</v>
      </c>
      <c r="K86" s="13" t="s">
        <v>34</v>
      </c>
      <c r="L86" s="13" t="s">
        <v>34</v>
      </c>
      <c r="M86" s="13" t="s">
        <v>34</v>
      </c>
      <c r="N86" s="9">
        <v>13.5</v>
      </c>
      <c r="O86" s="13" t="str">
        <f t="shared" si="161"/>
        <v/>
      </c>
      <c r="P86" s="13" t="str">
        <f t="shared" si="162"/>
        <v/>
      </c>
      <c r="Q86" s="36" t="str">
        <f t="shared" si="156"/>
        <v>NO UPC</v>
      </c>
      <c r="R86" s="36"/>
      <c r="S86" s="22">
        <v>0</v>
      </c>
      <c r="T86" s="22">
        <v>0</v>
      </c>
      <c r="U86" s="22">
        <v>3.33</v>
      </c>
      <c r="V86" s="22">
        <v>13</v>
      </c>
      <c r="W86" s="22">
        <v>10</v>
      </c>
      <c r="X86" s="22">
        <v>8</v>
      </c>
      <c r="Y86" s="13">
        <v>20</v>
      </c>
      <c r="Z86" s="22">
        <f t="shared" si="163"/>
        <v>0.60185185185185186</v>
      </c>
      <c r="AA86" s="13">
        <v>15</v>
      </c>
      <c r="AB86" s="13">
        <v>6</v>
      </c>
      <c r="AC86" s="13">
        <v>90</v>
      </c>
      <c r="AD86" s="13">
        <f t="shared" si="164"/>
        <v>48</v>
      </c>
      <c r="AE86" s="13">
        <f t="shared" si="165"/>
        <v>1800</v>
      </c>
      <c r="AG86" s="28" t="str">
        <f t="shared" si="166"/>
        <v>6x750ml C</v>
      </c>
    </row>
    <row r="87" spans="1:33" x14ac:dyDescent="0.25">
      <c r="A87" s="10" t="e">
        <f>IF(#REF!=0,"Hide","Show")</f>
        <v>#REF!</v>
      </c>
      <c r="B87" s="32" t="str">
        <f t="shared" si="152"/>
        <v>Lucien Le Moine</v>
      </c>
      <c r="C87" s="33" t="str">
        <f>"Chassagne-Montrachet 1er Cru Morgeot Rouge"</f>
        <v>Chassagne-Montrachet 1er Cru Morgeot Rouge</v>
      </c>
      <c r="D87" s="34">
        <v>6</v>
      </c>
      <c r="E87" s="34">
        <v>750</v>
      </c>
      <c r="F87" s="34" t="str">
        <f>"2015"</f>
        <v>2015</v>
      </c>
      <c r="G87" s="34" t="str">
        <f t="shared" si="160"/>
        <v>Red</v>
      </c>
      <c r="H87" s="35" t="str">
        <f>"CHASSAGNE-MONTRACHET"</f>
        <v>CHASSAGNE-MONTRACHET</v>
      </c>
      <c r="I87" s="35" t="str">
        <f t="shared" si="153"/>
        <v>PINOT NOIR</v>
      </c>
      <c r="J87" s="13" t="s">
        <v>75</v>
      </c>
      <c r="K87" s="13" t="s">
        <v>34</v>
      </c>
      <c r="L87" s="13" t="s">
        <v>34</v>
      </c>
      <c r="M87" s="13" t="s">
        <v>34</v>
      </c>
      <c r="N87" s="9">
        <v>13.5</v>
      </c>
      <c r="O87" s="13" t="str">
        <f t="shared" si="161"/>
        <v/>
      </c>
      <c r="P87" s="13" t="str">
        <f t="shared" si="162"/>
        <v/>
      </c>
      <c r="Q87" s="36" t="str">
        <f t="shared" si="156"/>
        <v>NO UPC</v>
      </c>
      <c r="R87" s="36"/>
      <c r="S87" s="22">
        <v>0</v>
      </c>
      <c r="T87" s="22">
        <v>0</v>
      </c>
      <c r="U87" s="22">
        <v>3.33</v>
      </c>
      <c r="V87" s="22">
        <v>13</v>
      </c>
      <c r="W87" s="22">
        <v>10</v>
      </c>
      <c r="X87" s="22">
        <v>8</v>
      </c>
      <c r="Y87" s="13">
        <v>20</v>
      </c>
      <c r="Z87" s="22">
        <f t="shared" si="163"/>
        <v>0.60185185185185186</v>
      </c>
      <c r="AA87" s="13">
        <v>15</v>
      </c>
      <c r="AB87" s="13">
        <v>6</v>
      </c>
      <c r="AC87" s="13">
        <v>90</v>
      </c>
      <c r="AD87" s="13">
        <f t="shared" si="164"/>
        <v>48</v>
      </c>
      <c r="AE87" s="13">
        <f t="shared" si="165"/>
        <v>1800</v>
      </c>
      <c r="AG87" s="28" t="str">
        <f t="shared" si="166"/>
        <v>6x750ml C</v>
      </c>
    </row>
    <row r="88" spans="1:33" x14ac:dyDescent="0.25">
      <c r="A88" s="10" t="e">
        <f>IF(#REF!=0,"Hide","Show")</f>
        <v>#REF!</v>
      </c>
      <c r="B88" s="32" t="str">
        <f t="shared" si="152"/>
        <v>Lucien Le Moine</v>
      </c>
      <c r="C88" s="33" t="str">
        <f>"Pommard 1er Cru Les Epenots"</f>
        <v>Pommard 1er Cru Les Epenots</v>
      </c>
      <c r="D88" s="34">
        <v>6</v>
      </c>
      <c r="E88" s="34">
        <v>750</v>
      </c>
      <c r="F88" s="34" t="str">
        <f>"2011"</f>
        <v>2011</v>
      </c>
      <c r="G88" s="34" t="str">
        <f t="shared" si="160"/>
        <v>Red</v>
      </c>
      <c r="H88" s="35" t="str">
        <f t="shared" ref="H88:H97" si="167">"POMMARD"</f>
        <v>POMMARD</v>
      </c>
      <c r="I88" s="35" t="str">
        <f t="shared" si="153"/>
        <v>PINOT NOIR</v>
      </c>
      <c r="J88" s="13" t="s">
        <v>75</v>
      </c>
      <c r="K88" s="13" t="s">
        <v>34</v>
      </c>
      <c r="L88" s="13" t="s">
        <v>34</v>
      </c>
      <c r="M88" s="13" t="s">
        <v>34</v>
      </c>
      <c r="N88" s="9">
        <v>13</v>
      </c>
      <c r="O88" s="13" t="str">
        <f t="shared" si="154"/>
        <v/>
      </c>
      <c r="P88" s="13" t="str">
        <f t="shared" si="155"/>
        <v/>
      </c>
      <c r="Q88" s="36" t="str">
        <f t="shared" si="156"/>
        <v>NO UPC</v>
      </c>
      <c r="R88" s="36"/>
      <c r="S88" s="22">
        <v>0</v>
      </c>
      <c r="T88" s="22">
        <v>0</v>
      </c>
      <c r="U88" s="22">
        <v>3.33</v>
      </c>
      <c r="V88" s="22">
        <v>13</v>
      </c>
      <c r="W88" s="22">
        <v>10</v>
      </c>
      <c r="X88" s="22">
        <v>8</v>
      </c>
      <c r="Y88" s="13">
        <v>20</v>
      </c>
      <c r="Z88" s="22">
        <f t="shared" si="157"/>
        <v>0.60185185185185186</v>
      </c>
      <c r="AA88" s="13">
        <v>15</v>
      </c>
      <c r="AB88" s="13">
        <v>6</v>
      </c>
      <c r="AC88" s="13">
        <v>90</v>
      </c>
      <c r="AD88" s="13">
        <f t="shared" si="158"/>
        <v>48</v>
      </c>
      <c r="AE88" s="13">
        <f t="shared" si="159"/>
        <v>1800</v>
      </c>
      <c r="AG88" s="28" t="str">
        <f t="shared" si="166"/>
        <v>6x750ml C</v>
      </c>
    </row>
    <row r="89" spans="1:33" x14ac:dyDescent="0.25">
      <c r="A89" s="10" t="e">
        <f>IF(#REF!=0,"Hide","Show")</f>
        <v>#REF!</v>
      </c>
      <c r="B89" s="32" t="str">
        <f t="shared" si="152"/>
        <v>Lucien Le Moine</v>
      </c>
      <c r="C89" s="33" t="str">
        <f>"Pommard 1er Cru Les Epenots"</f>
        <v>Pommard 1er Cru Les Epenots</v>
      </c>
      <c r="D89" s="34">
        <v>6</v>
      </c>
      <c r="E89" s="34">
        <v>750</v>
      </c>
      <c r="F89" s="34" t="str">
        <f>"2012"</f>
        <v>2012</v>
      </c>
      <c r="G89" s="34" t="str">
        <f t="shared" si="160"/>
        <v>Red</v>
      </c>
      <c r="H89" s="35" t="str">
        <f t="shared" si="167"/>
        <v>POMMARD</v>
      </c>
      <c r="I89" s="35" t="str">
        <f t="shared" si="153"/>
        <v>PINOT NOIR</v>
      </c>
      <c r="J89" s="13" t="s">
        <v>75</v>
      </c>
      <c r="K89" s="13" t="s">
        <v>34</v>
      </c>
      <c r="L89" s="13" t="s">
        <v>34</v>
      </c>
      <c r="M89" s="13" t="s">
        <v>34</v>
      </c>
      <c r="N89" s="9">
        <v>13.5</v>
      </c>
      <c r="O89" s="13" t="str">
        <f t="shared" ref="O89:O91" si="168">IF(LEN(Q89)=12,"UPC",IF(LEN(Q89)&gt;12,"EAN",""))</f>
        <v/>
      </c>
      <c r="P89" s="13" t="str">
        <f t="shared" ref="P89:P91" si="169">IF(ISNUMBER(SEARCH("Gift",AG89)),"Gift Box","")</f>
        <v/>
      </c>
      <c r="Q89" s="36" t="str">
        <f t="shared" si="156"/>
        <v>NO UPC</v>
      </c>
      <c r="R89" s="36"/>
      <c r="S89" s="22">
        <v>0</v>
      </c>
      <c r="T89" s="22">
        <v>0</v>
      </c>
      <c r="U89" s="22">
        <v>3.33</v>
      </c>
      <c r="V89" s="22">
        <v>13</v>
      </c>
      <c r="W89" s="22">
        <v>10</v>
      </c>
      <c r="X89" s="22">
        <v>8</v>
      </c>
      <c r="Y89" s="13">
        <v>20</v>
      </c>
      <c r="Z89" s="22">
        <f t="shared" ref="Z89:Z91" si="170">IF(V89&gt;0,(V89*W89*X89)/1728,"")</f>
        <v>0.60185185185185186</v>
      </c>
      <c r="AA89" s="13">
        <v>15</v>
      </c>
      <c r="AB89" s="13">
        <v>6</v>
      </c>
      <c r="AC89" s="13">
        <v>90</v>
      </c>
      <c r="AD89" s="13">
        <f t="shared" ref="AD89:AD91" si="171">IF(AB89&gt;0,AB89*X89,"")</f>
        <v>48</v>
      </c>
      <c r="AE89" s="13">
        <f t="shared" ref="AE89:AE91" si="172">IF(Y89&gt;0,Y89*(AA89*AB89),"")</f>
        <v>1800</v>
      </c>
      <c r="AG89" s="28" t="str">
        <f t="shared" si="166"/>
        <v>6x750ml C</v>
      </c>
    </row>
    <row r="90" spans="1:33" x14ac:dyDescent="0.25">
      <c r="A90" s="10" t="e">
        <f>IF(#REF!=0,"Hide","Show")</f>
        <v>#REF!</v>
      </c>
      <c r="B90" s="32" t="str">
        <f t="shared" si="152"/>
        <v>Lucien Le Moine</v>
      </c>
      <c r="C90" s="33" t="str">
        <f>"Pommard 1er Cru Les Epenots"</f>
        <v>Pommard 1er Cru Les Epenots</v>
      </c>
      <c r="D90" s="34">
        <v>6</v>
      </c>
      <c r="E90" s="34">
        <v>750</v>
      </c>
      <c r="F90" s="34" t="str">
        <f>"2013"</f>
        <v>2013</v>
      </c>
      <c r="G90" s="34" t="str">
        <f t="shared" si="160"/>
        <v>Red</v>
      </c>
      <c r="H90" s="35" t="str">
        <f t="shared" si="167"/>
        <v>POMMARD</v>
      </c>
      <c r="I90" s="35" t="str">
        <f t="shared" si="153"/>
        <v>PINOT NOIR</v>
      </c>
      <c r="J90" s="13" t="s">
        <v>75</v>
      </c>
      <c r="K90" s="13" t="s">
        <v>34</v>
      </c>
      <c r="L90" s="13" t="s">
        <v>34</v>
      </c>
      <c r="M90" s="13" t="s">
        <v>34</v>
      </c>
      <c r="N90" s="9">
        <v>13.5</v>
      </c>
      <c r="O90" s="13" t="str">
        <f t="shared" si="168"/>
        <v/>
      </c>
      <c r="P90" s="13" t="str">
        <f t="shared" si="169"/>
        <v/>
      </c>
      <c r="Q90" s="36" t="str">
        <f t="shared" si="156"/>
        <v>NO UPC</v>
      </c>
      <c r="R90" s="36"/>
      <c r="S90" s="22">
        <v>0</v>
      </c>
      <c r="T90" s="22">
        <v>0</v>
      </c>
      <c r="U90" s="22">
        <v>3.33</v>
      </c>
      <c r="V90" s="22">
        <v>13</v>
      </c>
      <c r="W90" s="22">
        <v>10</v>
      </c>
      <c r="X90" s="22">
        <v>8</v>
      </c>
      <c r="Y90" s="13">
        <v>20</v>
      </c>
      <c r="Z90" s="22">
        <f t="shared" si="170"/>
        <v>0.60185185185185186</v>
      </c>
      <c r="AA90" s="13">
        <v>15</v>
      </c>
      <c r="AB90" s="13">
        <v>6</v>
      </c>
      <c r="AC90" s="13">
        <v>90</v>
      </c>
      <c r="AD90" s="13">
        <f t="shared" si="171"/>
        <v>48</v>
      </c>
      <c r="AE90" s="13">
        <f t="shared" si="172"/>
        <v>1800</v>
      </c>
      <c r="AG90" s="28" t="str">
        <f t="shared" si="166"/>
        <v>6x750ml C</v>
      </c>
    </row>
    <row r="91" spans="1:33" x14ac:dyDescent="0.25">
      <c r="A91" s="10" t="e">
        <f>IF(#REF!=0,"Hide","Show")</f>
        <v>#REF!</v>
      </c>
      <c r="B91" s="32" t="str">
        <f t="shared" si="152"/>
        <v>Lucien Le Moine</v>
      </c>
      <c r="C91" s="33" t="str">
        <f>"Pommard 1er Cru Les Epenots"</f>
        <v>Pommard 1er Cru Les Epenots</v>
      </c>
      <c r="D91" s="34">
        <v>6</v>
      </c>
      <c r="E91" s="34">
        <v>750</v>
      </c>
      <c r="F91" s="34" t="str">
        <f>"2014"</f>
        <v>2014</v>
      </c>
      <c r="G91" s="34" t="str">
        <f t="shared" si="160"/>
        <v>Red</v>
      </c>
      <c r="H91" s="35" t="str">
        <f t="shared" si="167"/>
        <v>POMMARD</v>
      </c>
      <c r="I91" s="35" t="str">
        <f t="shared" si="153"/>
        <v>PINOT NOIR</v>
      </c>
      <c r="J91" s="13" t="s">
        <v>75</v>
      </c>
      <c r="K91" s="13" t="s">
        <v>34</v>
      </c>
      <c r="L91" s="13" t="s">
        <v>34</v>
      </c>
      <c r="M91" s="13" t="s">
        <v>34</v>
      </c>
      <c r="N91" s="9">
        <v>13</v>
      </c>
      <c r="O91" s="13" t="str">
        <f t="shared" si="168"/>
        <v/>
      </c>
      <c r="P91" s="13" t="str">
        <f t="shared" si="169"/>
        <v/>
      </c>
      <c r="Q91" s="36" t="str">
        <f t="shared" si="156"/>
        <v>NO UPC</v>
      </c>
      <c r="R91" s="36"/>
      <c r="S91" s="22">
        <v>0</v>
      </c>
      <c r="T91" s="22">
        <v>0</v>
      </c>
      <c r="U91" s="22">
        <v>3.33</v>
      </c>
      <c r="V91" s="22">
        <v>13</v>
      </c>
      <c r="W91" s="22">
        <v>10</v>
      </c>
      <c r="X91" s="22">
        <v>8</v>
      </c>
      <c r="Y91" s="13">
        <v>20</v>
      </c>
      <c r="Z91" s="22">
        <f t="shared" si="170"/>
        <v>0.60185185185185186</v>
      </c>
      <c r="AA91" s="13">
        <v>15</v>
      </c>
      <c r="AB91" s="13">
        <v>6</v>
      </c>
      <c r="AC91" s="13">
        <v>90</v>
      </c>
      <c r="AD91" s="13">
        <f t="shared" si="171"/>
        <v>48</v>
      </c>
      <c r="AE91" s="13">
        <f t="shared" si="172"/>
        <v>1800</v>
      </c>
      <c r="AG91" s="28" t="str">
        <f t="shared" si="166"/>
        <v>6x750ml C</v>
      </c>
    </row>
    <row r="92" spans="1:33" x14ac:dyDescent="0.25">
      <c r="A92" s="10" t="e">
        <f>IF(#REF!=0,"Hide","Show")</f>
        <v>#REF!</v>
      </c>
      <c r="B92" s="32" t="str">
        <f t="shared" si="152"/>
        <v>Lucien Le Moine</v>
      </c>
      <c r="C92" s="33" t="str">
        <f>"Pommard 1er Cru Grands Epenots"</f>
        <v>Pommard 1er Cru Grands Epenots</v>
      </c>
      <c r="D92" s="34">
        <v>6</v>
      </c>
      <c r="E92" s="34">
        <v>750</v>
      </c>
      <c r="F92" s="34" t="str">
        <f>"2011"</f>
        <v>2011</v>
      </c>
      <c r="G92" s="34" t="str">
        <f t="shared" si="160"/>
        <v>Red</v>
      </c>
      <c r="H92" s="35" t="str">
        <f t="shared" si="167"/>
        <v>POMMARD</v>
      </c>
      <c r="I92" s="35" t="str">
        <f t="shared" si="153"/>
        <v>PINOT NOIR</v>
      </c>
      <c r="J92" s="13" t="s">
        <v>75</v>
      </c>
      <c r="K92" s="13" t="s">
        <v>34</v>
      </c>
      <c r="L92" s="13" t="s">
        <v>34</v>
      </c>
      <c r="M92" s="13" t="s">
        <v>34</v>
      </c>
      <c r="N92" s="9">
        <v>13.5</v>
      </c>
      <c r="O92" s="13" t="str">
        <f t="shared" si="154"/>
        <v/>
      </c>
      <c r="P92" s="13" t="str">
        <f t="shared" si="155"/>
        <v/>
      </c>
      <c r="Q92" s="36" t="str">
        <f t="shared" si="156"/>
        <v>NO UPC</v>
      </c>
      <c r="R92" s="36"/>
      <c r="S92" s="22">
        <v>0</v>
      </c>
      <c r="T92" s="22">
        <v>0</v>
      </c>
      <c r="U92" s="22">
        <v>3.33</v>
      </c>
      <c r="V92" s="22">
        <v>13</v>
      </c>
      <c r="W92" s="22">
        <v>10</v>
      </c>
      <c r="X92" s="22">
        <v>8</v>
      </c>
      <c r="Y92" s="13">
        <v>20</v>
      </c>
      <c r="Z92" s="22">
        <f t="shared" si="157"/>
        <v>0.60185185185185186</v>
      </c>
      <c r="AA92" s="13">
        <v>15</v>
      </c>
      <c r="AB92" s="13">
        <v>6</v>
      </c>
      <c r="AC92" s="13">
        <v>90</v>
      </c>
      <c r="AD92" s="13">
        <f t="shared" si="158"/>
        <v>48</v>
      </c>
      <c r="AE92" s="13">
        <f t="shared" si="159"/>
        <v>1800</v>
      </c>
      <c r="AG92" s="28" t="str">
        <f t="shared" si="166"/>
        <v>6x750ml C</v>
      </c>
    </row>
    <row r="93" spans="1:33" x14ac:dyDescent="0.25">
      <c r="A93" s="10" t="e">
        <f>IF(#REF!=0,"Hide","Show")</f>
        <v>#REF!</v>
      </c>
      <c r="B93" s="32" t="str">
        <f t="shared" si="152"/>
        <v>Lucien Le Moine</v>
      </c>
      <c r="C93" s="33" t="str">
        <f>"Pommard 1er Cru Grands Epenots"</f>
        <v>Pommard 1er Cru Grands Epenots</v>
      </c>
      <c r="D93" s="34">
        <v>6</v>
      </c>
      <c r="E93" s="34">
        <v>750</v>
      </c>
      <c r="F93" s="34" t="str">
        <f>"2012"</f>
        <v>2012</v>
      </c>
      <c r="G93" s="34" t="str">
        <f t="shared" si="160"/>
        <v>Red</v>
      </c>
      <c r="H93" s="35" t="str">
        <f t="shared" si="167"/>
        <v>POMMARD</v>
      </c>
      <c r="I93" s="35" t="str">
        <f t="shared" si="153"/>
        <v>PINOT NOIR</v>
      </c>
      <c r="J93" s="13" t="s">
        <v>75</v>
      </c>
      <c r="K93" s="13" t="s">
        <v>34</v>
      </c>
      <c r="L93" s="13" t="s">
        <v>34</v>
      </c>
      <c r="M93" s="13" t="s">
        <v>34</v>
      </c>
      <c r="N93" s="9">
        <v>13.5</v>
      </c>
      <c r="O93" s="13" t="str">
        <f t="shared" ref="O93:O94" si="173">IF(LEN(Q93)=12,"UPC",IF(LEN(Q93)&gt;12,"EAN",""))</f>
        <v/>
      </c>
      <c r="P93" s="13" t="str">
        <f t="shared" ref="P93:P94" si="174">IF(ISNUMBER(SEARCH("Gift",AG93)),"Gift Box","")</f>
        <v/>
      </c>
      <c r="Q93" s="36" t="str">
        <f t="shared" si="156"/>
        <v>NO UPC</v>
      </c>
      <c r="R93" s="36"/>
      <c r="S93" s="22">
        <v>0</v>
      </c>
      <c r="T93" s="22">
        <v>0</v>
      </c>
      <c r="U93" s="22">
        <v>3.33</v>
      </c>
      <c r="V93" s="22">
        <v>13</v>
      </c>
      <c r="W93" s="22">
        <v>10</v>
      </c>
      <c r="X93" s="22">
        <v>8</v>
      </c>
      <c r="Y93" s="13">
        <v>20</v>
      </c>
      <c r="Z93" s="22">
        <f t="shared" ref="Z93:Z94" si="175">IF(V93&gt;0,(V93*W93*X93)/1728,"")</f>
        <v>0.60185185185185186</v>
      </c>
      <c r="AA93" s="13">
        <v>15</v>
      </c>
      <c r="AB93" s="13">
        <v>6</v>
      </c>
      <c r="AC93" s="13">
        <v>90</v>
      </c>
      <c r="AD93" s="13">
        <f t="shared" ref="AD93:AD94" si="176">IF(AB93&gt;0,AB93*X93,"")</f>
        <v>48</v>
      </c>
      <c r="AE93" s="13">
        <f t="shared" ref="AE93:AE94" si="177">IF(Y93&gt;0,Y93*(AA93*AB93),"")</f>
        <v>1800</v>
      </c>
      <c r="AG93" s="28" t="str">
        <f t="shared" si="166"/>
        <v>6x750ml C</v>
      </c>
    </row>
    <row r="94" spans="1:33" x14ac:dyDescent="0.25">
      <c r="A94" s="10" t="e">
        <f>IF(#REF!=0,"Hide","Show")</f>
        <v>#REF!</v>
      </c>
      <c r="B94" s="32" t="str">
        <f t="shared" si="152"/>
        <v>Lucien Le Moine</v>
      </c>
      <c r="C94" s="33" t="str">
        <f>"Pommard 1er Cru Grands Epenots"</f>
        <v>Pommard 1er Cru Grands Epenots</v>
      </c>
      <c r="D94" s="34">
        <v>3</v>
      </c>
      <c r="E94" s="34">
        <v>1500</v>
      </c>
      <c r="F94" s="34" t="str">
        <f>"2013"</f>
        <v>2013</v>
      </c>
      <c r="G94" s="34" t="str">
        <f t="shared" si="160"/>
        <v>Red</v>
      </c>
      <c r="H94" s="35" t="str">
        <f t="shared" si="167"/>
        <v>POMMARD</v>
      </c>
      <c r="I94" s="35" t="str">
        <f t="shared" si="153"/>
        <v>PINOT NOIR</v>
      </c>
      <c r="J94" s="13" t="s">
        <v>75</v>
      </c>
      <c r="K94" s="13" t="s">
        <v>34</v>
      </c>
      <c r="L94" s="13" t="s">
        <v>34</v>
      </c>
      <c r="M94" s="13" t="s">
        <v>34</v>
      </c>
      <c r="N94" s="9">
        <v>13.5</v>
      </c>
      <c r="O94" s="13" t="str">
        <f t="shared" si="173"/>
        <v/>
      </c>
      <c r="P94" s="13" t="str">
        <f t="shared" si="174"/>
        <v/>
      </c>
      <c r="Q94" s="36" t="str">
        <f t="shared" si="156"/>
        <v>NO UPC</v>
      </c>
      <c r="R94" s="36"/>
      <c r="S94" s="22">
        <v>0</v>
      </c>
      <c r="T94" s="22">
        <v>0</v>
      </c>
      <c r="U94" s="22">
        <v>3.33</v>
      </c>
      <c r="V94" s="22">
        <v>13</v>
      </c>
      <c r="W94" s="22">
        <v>10</v>
      </c>
      <c r="X94" s="22">
        <v>8</v>
      </c>
      <c r="Y94" s="13">
        <v>9.99</v>
      </c>
      <c r="Z94" s="22">
        <f t="shared" si="175"/>
        <v>0.60185185185185186</v>
      </c>
      <c r="AA94" s="13">
        <v>15</v>
      </c>
      <c r="AB94" s="13">
        <v>6</v>
      </c>
      <c r="AC94" s="13">
        <v>90</v>
      </c>
      <c r="AD94" s="13">
        <f t="shared" si="176"/>
        <v>48</v>
      </c>
      <c r="AE94" s="13">
        <f t="shared" si="177"/>
        <v>899.1</v>
      </c>
      <c r="AG94" s="28" t="str">
        <f>"3x1.5L C"</f>
        <v>3x1.5L C</v>
      </c>
    </row>
    <row r="95" spans="1:33" x14ac:dyDescent="0.25">
      <c r="A95" s="10" t="e">
        <f>IF(#REF!=0,"Hide","Show")</f>
        <v>#REF!</v>
      </c>
      <c r="B95" s="32" t="str">
        <f t="shared" si="152"/>
        <v>Lucien Le Moine</v>
      </c>
      <c r="C95" s="33" t="str">
        <f>"Pommard 1er Cru La Chaniere"</f>
        <v>Pommard 1er Cru La Chaniere</v>
      </c>
      <c r="D95" s="34">
        <v>6</v>
      </c>
      <c r="E95" s="34">
        <v>750</v>
      </c>
      <c r="F95" s="34" t="str">
        <f>"2012"</f>
        <v>2012</v>
      </c>
      <c r="G95" s="34" t="str">
        <f t="shared" si="160"/>
        <v>Red</v>
      </c>
      <c r="H95" s="35" t="str">
        <f t="shared" si="167"/>
        <v>POMMARD</v>
      </c>
      <c r="I95" s="35" t="str">
        <f t="shared" si="153"/>
        <v>PINOT NOIR</v>
      </c>
      <c r="J95" s="13" t="s">
        <v>75</v>
      </c>
      <c r="K95" s="13" t="s">
        <v>34</v>
      </c>
      <c r="L95" s="13" t="s">
        <v>34</v>
      </c>
      <c r="M95" s="13" t="s">
        <v>34</v>
      </c>
      <c r="N95" s="9">
        <v>13.5</v>
      </c>
      <c r="O95" s="13" t="str">
        <f t="shared" si="154"/>
        <v/>
      </c>
      <c r="P95" s="13" t="str">
        <f t="shared" si="155"/>
        <v/>
      </c>
      <c r="Q95" s="36" t="str">
        <f t="shared" si="156"/>
        <v>NO UPC</v>
      </c>
      <c r="R95" s="36"/>
      <c r="S95" s="22">
        <v>0</v>
      </c>
      <c r="T95" s="22">
        <v>0</v>
      </c>
      <c r="U95" s="22">
        <v>3.33</v>
      </c>
      <c r="V95" s="22">
        <v>13</v>
      </c>
      <c r="W95" s="22">
        <v>10</v>
      </c>
      <c r="X95" s="22">
        <v>8</v>
      </c>
      <c r="Y95" s="13">
        <v>20</v>
      </c>
      <c r="Z95" s="22">
        <f t="shared" si="157"/>
        <v>0.60185185185185186</v>
      </c>
      <c r="AA95" s="13">
        <v>15</v>
      </c>
      <c r="AB95" s="13">
        <v>6</v>
      </c>
      <c r="AC95" s="13">
        <v>90</v>
      </c>
      <c r="AD95" s="13">
        <f t="shared" si="158"/>
        <v>48</v>
      </c>
      <c r="AE95" s="13">
        <f t="shared" si="159"/>
        <v>1800</v>
      </c>
      <c r="AG95" s="28" t="str">
        <f>"6x750ml C"</f>
        <v>6x750ml C</v>
      </c>
    </row>
    <row r="96" spans="1:33" x14ac:dyDescent="0.25">
      <c r="A96" s="10" t="e">
        <f>IF(#REF!=0,"Hide","Show")</f>
        <v>#REF!</v>
      </c>
      <c r="B96" s="32" t="str">
        <f t="shared" si="152"/>
        <v>Lucien Le Moine</v>
      </c>
      <c r="C96" s="33" t="str">
        <f>"Pommard 1er Cru La Chaniere"</f>
        <v>Pommard 1er Cru La Chaniere</v>
      </c>
      <c r="D96" s="34">
        <v>6</v>
      </c>
      <c r="E96" s="34">
        <v>750</v>
      </c>
      <c r="F96" s="34" t="str">
        <f>"2013"</f>
        <v>2013</v>
      </c>
      <c r="G96" s="34" t="str">
        <f t="shared" si="160"/>
        <v>Red</v>
      </c>
      <c r="H96" s="35" t="str">
        <f t="shared" si="167"/>
        <v>POMMARD</v>
      </c>
      <c r="I96" s="35" t="str">
        <f t="shared" si="153"/>
        <v>PINOT NOIR</v>
      </c>
      <c r="J96" s="13" t="s">
        <v>75</v>
      </c>
      <c r="K96" s="13" t="s">
        <v>34</v>
      </c>
      <c r="L96" s="13" t="s">
        <v>34</v>
      </c>
      <c r="M96" s="13" t="s">
        <v>34</v>
      </c>
      <c r="N96" s="9">
        <v>13</v>
      </c>
      <c r="O96" s="13" t="str">
        <f t="shared" ref="O96:O97" si="178">IF(LEN(Q96)=12,"UPC",IF(LEN(Q96)&gt;12,"EAN",""))</f>
        <v/>
      </c>
      <c r="P96" s="13" t="str">
        <f t="shared" ref="P96:P97" si="179">IF(ISNUMBER(SEARCH("Gift",AG96)),"Gift Box","")</f>
        <v/>
      </c>
      <c r="Q96" s="36" t="str">
        <f t="shared" si="156"/>
        <v>NO UPC</v>
      </c>
      <c r="R96" s="36"/>
      <c r="S96" s="22">
        <v>0</v>
      </c>
      <c r="T96" s="22">
        <v>0</v>
      </c>
      <c r="U96" s="22">
        <v>3.33</v>
      </c>
      <c r="V96" s="22">
        <v>13</v>
      </c>
      <c r="W96" s="22">
        <v>10</v>
      </c>
      <c r="X96" s="22">
        <v>8</v>
      </c>
      <c r="Y96" s="13">
        <v>20</v>
      </c>
      <c r="Z96" s="22">
        <f t="shared" ref="Z96:Z97" si="180">IF(V96&gt;0,(V96*W96*X96)/1728,"")</f>
        <v>0.60185185185185186</v>
      </c>
      <c r="AA96" s="13">
        <v>15</v>
      </c>
      <c r="AB96" s="13">
        <v>6</v>
      </c>
      <c r="AC96" s="13">
        <v>90</v>
      </c>
      <c r="AD96" s="13">
        <f t="shared" ref="AD96:AD97" si="181">IF(AB96&gt;0,AB96*X96,"")</f>
        <v>48</v>
      </c>
      <c r="AE96" s="13">
        <f t="shared" ref="AE96:AE97" si="182">IF(Y96&gt;0,Y96*(AA96*AB96),"")</f>
        <v>1800</v>
      </c>
      <c r="AG96" s="28" t="str">
        <f>"6x750ml C"</f>
        <v>6x750ml C</v>
      </c>
    </row>
    <row r="97" spans="1:33" x14ac:dyDescent="0.25">
      <c r="A97" s="10" t="e">
        <f>IF(#REF!=0,"Hide","Show")</f>
        <v>#REF!</v>
      </c>
      <c r="B97" s="32" t="str">
        <f t="shared" si="152"/>
        <v>Lucien Le Moine</v>
      </c>
      <c r="C97" s="33" t="str">
        <f>"Pommard 1er Cru La Chaniere"</f>
        <v>Pommard 1er Cru La Chaniere</v>
      </c>
      <c r="D97" s="34">
        <v>6</v>
      </c>
      <c r="E97" s="34">
        <v>750</v>
      </c>
      <c r="F97" s="34" t="str">
        <f>"2014"</f>
        <v>2014</v>
      </c>
      <c r="G97" s="34" t="str">
        <f t="shared" si="160"/>
        <v>Red</v>
      </c>
      <c r="H97" s="35" t="str">
        <f t="shared" si="167"/>
        <v>POMMARD</v>
      </c>
      <c r="I97" s="35" t="str">
        <f t="shared" si="153"/>
        <v>PINOT NOIR</v>
      </c>
      <c r="J97" s="13" t="s">
        <v>75</v>
      </c>
      <c r="K97" s="13" t="s">
        <v>34</v>
      </c>
      <c r="L97" s="13" t="s">
        <v>34</v>
      </c>
      <c r="M97" s="13" t="s">
        <v>34</v>
      </c>
      <c r="N97" s="9">
        <v>13.5</v>
      </c>
      <c r="O97" s="13" t="str">
        <f t="shared" si="178"/>
        <v/>
      </c>
      <c r="P97" s="13" t="str">
        <f t="shared" si="179"/>
        <v/>
      </c>
      <c r="Q97" s="36" t="str">
        <f t="shared" si="156"/>
        <v>NO UPC</v>
      </c>
      <c r="R97" s="36"/>
      <c r="S97" s="22">
        <v>0</v>
      </c>
      <c r="T97" s="22">
        <v>0</v>
      </c>
      <c r="U97" s="22">
        <v>3.33</v>
      </c>
      <c r="V97" s="22">
        <v>13</v>
      </c>
      <c r="W97" s="22">
        <v>10</v>
      </c>
      <c r="X97" s="22">
        <v>8</v>
      </c>
      <c r="Y97" s="13">
        <v>20</v>
      </c>
      <c r="Z97" s="22">
        <f t="shared" si="180"/>
        <v>0.60185185185185186</v>
      </c>
      <c r="AA97" s="13">
        <v>15</v>
      </c>
      <c r="AB97" s="13">
        <v>6</v>
      </c>
      <c r="AC97" s="13">
        <v>90</v>
      </c>
      <c r="AD97" s="13">
        <f t="shared" si="181"/>
        <v>48</v>
      </c>
      <c r="AE97" s="13">
        <f t="shared" si="182"/>
        <v>1800</v>
      </c>
      <c r="AG97" s="28" t="str">
        <f>"6x750ml C"</f>
        <v>6x750ml C</v>
      </c>
    </row>
    <row r="98" spans="1:33" x14ac:dyDescent="0.25">
      <c r="A98" s="10" t="e">
        <f>IF(#REF!=0,"Hide","Show")</f>
        <v>#REF!</v>
      </c>
      <c r="B98" s="32" t="s">
        <v>71</v>
      </c>
      <c r="C98" s="33" t="s">
        <v>128</v>
      </c>
      <c r="D98" s="34">
        <v>6</v>
      </c>
      <c r="E98" s="34">
        <v>750</v>
      </c>
      <c r="F98" s="34" t="s">
        <v>106</v>
      </c>
      <c r="G98" s="34" t="s">
        <v>77</v>
      </c>
      <c r="H98" s="35" t="s">
        <v>85</v>
      </c>
      <c r="I98" s="35" t="s">
        <v>76</v>
      </c>
      <c r="J98" s="13" t="s">
        <v>75</v>
      </c>
      <c r="K98" s="13" t="s">
        <v>34</v>
      </c>
      <c r="L98" s="13" t="s">
        <v>34</v>
      </c>
      <c r="M98" s="13" t="s">
        <v>34</v>
      </c>
      <c r="N98" s="9">
        <v>13.5</v>
      </c>
      <c r="O98" s="13" t="str">
        <f t="shared" si="154"/>
        <v/>
      </c>
      <c r="P98" s="13" t="str">
        <f t="shared" si="155"/>
        <v/>
      </c>
      <c r="Q98" s="36" t="s">
        <v>91</v>
      </c>
      <c r="R98" s="36" t="s">
        <v>22</v>
      </c>
      <c r="S98" s="22">
        <v>0</v>
      </c>
      <c r="T98" s="22">
        <v>0</v>
      </c>
      <c r="U98" s="22">
        <v>3.33</v>
      </c>
      <c r="V98" s="22">
        <v>13</v>
      </c>
      <c r="W98" s="22">
        <v>10</v>
      </c>
      <c r="X98" s="22">
        <v>8</v>
      </c>
      <c r="Y98" s="13">
        <v>20</v>
      </c>
      <c r="Z98" s="22">
        <f t="shared" si="157"/>
        <v>0.60185185185185186</v>
      </c>
      <c r="AA98" s="13">
        <v>15</v>
      </c>
      <c r="AB98" s="13">
        <v>6</v>
      </c>
      <c r="AC98" s="13">
        <v>90</v>
      </c>
      <c r="AD98" s="13">
        <f t="shared" si="158"/>
        <v>48</v>
      </c>
      <c r="AE98" s="13">
        <f t="shared" si="159"/>
        <v>1800</v>
      </c>
      <c r="AG98" s="28" t="s">
        <v>73</v>
      </c>
    </row>
    <row r="99" spans="1:33" x14ac:dyDescent="0.25">
      <c r="A99" s="10" t="e">
        <f>IF(#REF!=0,"Hide","Show")</f>
        <v>#REF!</v>
      </c>
      <c r="B99" s="32" t="s">
        <v>71</v>
      </c>
      <c r="C99" s="33" t="s">
        <v>129</v>
      </c>
      <c r="D99" s="34">
        <v>6</v>
      </c>
      <c r="E99" s="34">
        <v>750</v>
      </c>
      <c r="F99" s="34" t="s">
        <v>87</v>
      </c>
      <c r="G99" s="34" t="s">
        <v>77</v>
      </c>
      <c r="H99" s="35" t="s">
        <v>127</v>
      </c>
      <c r="I99" s="35" t="s">
        <v>76</v>
      </c>
      <c r="J99" s="13" t="s">
        <v>75</v>
      </c>
      <c r="K99" s="13" t="s">
        <v>34</v>
      </c>
      <c r="L99" s="13" t="s">
        <v>34</v>
      </c>
      <c r="M99" s="13" t="s">
        <v>34</v>
      </c>
      <c r="N99" s="9">
        <v>13</v>
      </c>
      <c r="O99" s="13" t="str">
        <f t="shared" si="154"/>
        <v/>
      </c>
      <c r="P99" s="13" t="str">
        <f t="shared" si="155"/>
        <v/>
      </c>
      <c r="Q99" s="36" t="s">
        <v>91</v>
      </c>
      <c r="R99" s="36" t="s">
        <v>22</v>
      </c>
      <c r="S99" s="22">
        <v>0</v>
      </c>
      <c r="T99" s="22">
        <v>0</v>
      </c>
      <c r="U99" s="22">
        <v>3.33</v>
      </c>
      <c r="V99" s="22">
        <v>13</v>
      </c>
      <c r="W99" s="22">
        <v>10</v>
      </c>
      <c r="X99" s="22">
        <v>8</v>
      </c>
      <c r="Y99" s="13">
        <v>20</v>
      </c>
      <c r="Z99" s="22">
        <f t="shared" si="157"/>
        <v>0.60185185185185186</v>
      </c>
      <c r="AA99" s="13">
        <v>15</v>
      </c>
      <c r="AB99" s="13">
        <v>6</v>
      </c>
      <c r="AC99" s="13">
        <v>90</v>
      </c>
      <c r="AD99" s="13">
        <f t="shared" si="158"/>
        <v>48</v>
      </c>
      <c r="AE99" s="13">
        <f t="shared" si="159"/>
        <v>1800</v>
      </c>
      <c r="AG99" s="28" t="s">
        <v>73</v>
      </c>
    </row>
    <row r="100" spans="1:33" x14ac:dyDescent="0.25">
      <c r="A100" s="10" t="e">
        <f>IF(#REF!=0,"Hide","Show")</f>
        <v>#REF!</v>
      </c>
      <c r="B100" s="32" t="str">
        <f t="shared" ref="B100:B105" si="183">"Lucien Le Moine"</f>
        <v>Lucien Le Moine</v>
      </c>
      <c r="C100" s="33" t="str">
        <f>"Volnay 1er Cru Santenots"</f>
        <v>Volnay 1er Cru Santenots</v>
      </c>
      <c r="D100" s="34">
        <v>6</v>
      </c>
      <c r="E100" s="34">
        <v>750</v>
      </c>
      <c r="F100" s="34" t="str">
        <f>"2013"</f>
        <v>2013</v>
      </c>
      <c r="G100" s="34" t="str">
        <f t="shared" ref="G100:G105" si="184">"Red"</f>
        <v>Red</v>
      </c>
      <c r="H100" s="35" t="str">
        <f t="shared" ref="H100:H105" si="185">"VOLNAY"</f>
        <v>VOLNAY</v>
      </c>
      <c r="I100" s="35" t="str">
        <f t="shared" ref="I100:I105" si="186">"PINOT NOIR"</f>
        <v>PINOT NOIR</v>
      </c>
      <c r="J100" s="13" t="s">
        <v>75</v>
      </c>
      <c r="K100" s="13" t="s">
        <v>34</v>
      </c>
      <c r="L100" s="13" t="s">
        <v>34</v>
      </c>
      <c r="M100" s="13" t="s">
        <v>34</v>
      </c>
      <c r="N100" s="9">
        <v>13.5</v>
      </c>
      <c r="O100" s="13" t="str">
        <f t="shared" si="154"/>
        <v/>
      </c>
      <c r="P100" s="13" t="str">
        <f t="shared" si="155"/>
        <v/>
      </c>
      <c r="Q100" s="36" t="str">
        <f t="shared" ref="Q100:Q105" si="187">"NO UPC"</f>
        <v>NO UPC</v>
      </c>
      <c r="R100" s="36"/>
      <c r="S100" s="22">
        <v>0</v>
      </c>
      <c r="T100" s="22">
        <v>0</v>
      </c>
      <c r="U100" s="22">
        <v>3.33</v>
      </c>
      <c r="V100" s="22">
        <v>13</v>
      </c>
      <c r="W100" s="22">
        <v>10</v>
      </c>
      <c r="X100" s="22">
        <v>8</v>
      </c>
      <c r="Y100" s="13">
        <v>20</v>
      </c>
      <c r="Z100" s="22">
        <f t="shared" si="157"/>
        <v>0.60185185185185186</v>
      </c>
      <c r="AA100" s="13">
        <v>15</v>
      </c>
      <c r="AB100" s="13">
        <v>6</v>
      </c>
      <c r="AC100" s="13">
        <v>90</v>
      </c>
      <c r="AD100" s="13">
        <f t="shared" si="158"/>
        <v>48</v>
      </c>
      <c r="AE100" s="13">
        <f t="shared" si="159"/>
        <v>1800</v>
      </c>
      <c r="AG100" s="28" t="str">
        <f>"6x750ml C"</f>
        <v>6x750ml C</v>
      </c>
    </row>
    <row r="101" spans="1:33" x14ac:dyDescent="0.25">
      <c r="A101" s="10" t="e">
        <f>IF(#REF!=0,"Hide","Show")</f>
        <v>#REF!</v>
      </c>
      <c r="B101" s="32" t="str">
        <f t="shared" si="183"/>
        <v>Lucien Le Moine</v>
      </c>
      <c r="C101" s="33" t="str">
        <f>"Volnay 1er Cru Santenots"</f>
        <v>Volnay 1er Cru Santenots</v>
      </c>
      <c r="D101" s="34">
        <v>3</v>
      </c>
      <c r="E101" s="34">
        <v>1500</v>
      </c>
      <c r="F101" s="34" t="str">
        <f>"2013"</f>
        <v>2013</v>
      </c>
      <c r="G101" s="34" t="str">
        <f t="shared" si="184"/>
        <v>Red</v>
      </c>
      <c r="H101" s="35" t="str">
        <f t="shared" si="185"/>
        <v>VOLNAY</v>
      </c>
      <c r="I101" s="35" t="str">
        <f t="shared" si="186"/>
        <v>PINOT NOIR</v>
      </c>
      <c r="J101" s="13" t="s">
        <v>75</v>
      </c>
      <c r="K101" s="13" t="s">
        <v>34</v>
      </c>
      <c r="L101" s="13" t="s">
        <v>34</v>
      </c>
      <c r="M101" s="13" t="s">
        <v>34</v>
      </c>
      <c r="N101" s="9">
        <v>13.5</v>
      </c>
      <c r="O101" s="13" t="str">
        <f t="shared" ref="O101:O102" si="188">IF(LEN(Q101)=12,"UPC",IF(LEN(Q101)&gt;12,"EAN",""))</f>
        <v/>
      </c>
      <c r="P101" s="13" t="str">
        <f t="shared" ref="P101:P102" si="189">IF(ISNUMBER(SEARCH("Gift",AG101)),"Gift Box","")</f>
        <v/>
      </c>
      <c r="Q101" s="36" t="str">
        <f t="shared" si="187"/>
        <v>NO UPC</v>
      </c>
      <c r="R101" s="36"/>
      <c r="S101" s="22">
        <v>0</v>
      </c>
      <c r="T101" s="22">
        <v>0</v>
      </c>
      <c r="U101" s="22">
        <v>3.33</v>
      </c>
      <c r="V101" s="22">
        <v>13</v>
      </c>
      <c r="W101" s="22">
        <v>10</v>
      </c>
      <c r="X101" s="22">
        <v>8</v>
      </c>
      <c r="Y101" s="13">
        <v>0</v>
      </c>
      <c r="Z101" s="22">
        <f t="shared" ref="Z101:Z102" si="190">IF(V101&gt;0,(V101*W101*X101)/1728,"")</f>
        <v>0.60185185185185186</v>
      </c>
      <c r="AA101" s="13">
        <v>15</v>
      </c>
      <c r="AB101" s="13">
        <v>6</v>
      </c>
      <c r="AC101" s="13">
        <v>90</v>
      </c>
      <c r="AD101" s="13">
        <f t="shared" ref="AD101:AD102" si="191">IF(AB101&gt;0,AB101*X101,"")</f>
        <v>48</v>
      </c>
      <c r="AE101" s="13" t="str">
        <f t="shared" ref="AE101:AE102" si="192">IF(Y101&gt;0,Y101*(AA101*AB101),"")</f>
        <v/>
      </c>
      <c r="AG101" s="28" t="str">
        <f>"3x1.5L C"</f>
        <v>3x1.5L C</v>
      </c>
    </row>
    <row r="102" spans="1:33" x14ac:dyDescent="0.25">
      <c r="A102" s="10" t="e">
        <f>IF(#REF!=0,"Hide","Show")</f>
        <v>#REF!</v>
      </c>
      <c r="B102" s="32" t="str">
        <f t="shared" si="183"/>
        <v>Lucien Le Moine</v>
      </c>
      <c r="C102" s="33" t="str">
        <f>"Volnay 1er Cru Santenots"</f>
        <v>Volnay 1er Cru Santenots</v>
      </c>
      <c r="D102" s="34">
        <v>6</v>
      </c>
      <c r="E102" s="34">
        <v>750</v>
      </c>
      <c r="F102" s="34" t="str">
        <f>"2014"</f>
        <v>2014</v>
      </c>
      <c r="G102" s="34" t="str">
        <f t="shared" si="184"/>
        <v>Red</v>
      </c>
      <c r="H102" s="35" t="str">
        <f t="shared" si="185"/>
        <v>VOLNAY</v>
      </c>
      <c r="I102" s="35" t="str">
        <f t="shared" si="186"/>
        <v>PINOT NOIR</v>
      </c>
      <c r="J102" s="13" t="s">
        <v>75</v>
      </c>
      <c r="K102" s="13" t="s">
        <v>34</v>
      </c>
      <c r="L102" s="13" t="s">
        <v>34</v>
      </c>
      <c r="M102" s="13" t="s">
        <v>34</v>
      </c>
      <c r="N102" s="9">
        <v>13.5</v>
      </c>
      <c r="O102" s="13" t="str">
        <f t="shared" si="188"/>
        <v/>
      </c>
      <c r="P102" s="13" t="str">
        <f t="shared" si="189"/>
        <v/>
      </c>
      <c r="Q102" s="36" t="str">
        <f t="shared" si="187"/>
        <v>NO UPC</v>
      </c>
      <c r="R102" s="36"/>
      <c r="S102" s="22">
        <v>0</v>
      </c>
      <c r="T102" s="22">
        <v>0</v>
      </c>
      <c r="U102" s="22">
        <v>3.33</v>
      </c>
      <c r="V102" s="22">
        <v>13</v>
      </c>
      <c r="W102" s="22">
        <v>10</v>
      </c>
      <c r="X102" s="22">
        <v>8</v>
      </c>
      <c r="Y102" s="13">
        <v>20</v>
      </c>
      <c r="Z102" s="22">
        <f t="shared" si="190"/>
        <v>0.60185185185185186</v>
      </c>
      <c r="AA102" s="13">
        <v>15</v>
      </c>
      <c r="AB102" s="13">
        <v>6</v>
      </c>
      <c r="AC102" s="13">
        <v>90</v>
      </c>
      <c r="AD102" s="13">
        <f t="shared" si="191"/>
        <v>48</v>
      </c>
      <c r="AE102" s="13">
        <f t="shared" si="192"/>
        <v>1800</v>
      </c>
      <c r="AG102" s="28" t="str">
        <f>"6x750ml C"</f>
        <v>6x750ml C</v>
      </c>
    </row>
    <row r="103" spans="1:33" x14ac:dyDescent="0.25">
      <c r="A103" s="10" t="e">
        <f>IF(#REF!=0,"Hide","Show")</f>
        <v>#REF!</v>
      </c>
      <c r="B103" s="32" t="str">
        <f t="shared" si="183"/>
        <v>Lucien Le Moine</v>
      </c>
      <c r="C103" s="33" t="str">
        <f>"Volnay 1er Cru Brouillards"</f>
        <v>Volnay 1er Cru Brouillards</v>
      </c>
      <c r="D103" s="34">
        <v>6</v>
      </c>
      <c r="E103" s="34">
        <v>750</v>
      </c>
      <c r="F103" s="34" t="str">
        <f>"2013"</f>
        <v>2013</v>
      </c>
      <c r="G103" s="34" t="str">
        <f t="shared" si="184"/>
        <v>Red</v>
      </c>
      <c r="H103" s="35" t="str">
        <f t="shared" si="185"/>
        <v>VOLNAY</v>
      </c>
      <c r="I103" s="35" t="str">
        <f t="shared" si="186"/>
        <v>PINOT NOIR</v>
      </c>
      <c r="J103" s="13" t="s">
        <v>75</v>
      </c>
      <c r="K103" s="13" t="s">
        <v>34</v>
      </c>
      <c r="L103" s="13" t="s">
        <v>34</v>
      </c>
      <c r="M103" s="13" t="s">
        <v>34</v>
      </c>
      <c r="N103" s="9">
        <v>13</v>
      </c>
      <c r="O103" s="13" t="str">
        <f t="shared" si="154"/>
        <v/>
      </c>
      <c r="P103" s="13" t="str">
        <f t="shared" si="155"/>
        <v/>
      </c>
      <c r="Q103" s="36" t="str">
        <f t="shared" si="187"/>
        <v>NO UPC</v>
      </c>
      <c r="R103" s="36"/>
      <c r="S103" s="22">
        <v>0</v>
      </c>
      <c r="T103" s="22">
        <v>0</v>
      </c>
      <c r="U103" s="22">
        <v>3.33</v>
      </c>
      <c r="V103" s="22">
        <v>13</v>
      </c>
      <c r="W103" s="22">
        <v>10</v>
      </c>
      <c r="X103" s="22">
        <v>8</v>
      </c>
      <c r="Y103" s="13">
        <v>20</v>
      </c>
      <c r="Z103" s="22">
        <f t="shared" si="157"/>
        <v>0.60185185185185186</v>
      </c>
      <c r="AA103" s="13">
        <v>15</v>
      </c>
      <c r="AB103" s="13">
        <v>6</v>
      </c>
      <c r="AC103" s="13">
        <v>90</v>
      </c>
      <c r="AD103" s="13">
        <f t="shared" si="158"/>
        <v>48</v>
      </c>
      <c r="AE103" s="13">
        <f t="shared" si="159"/>
        <v>1800</v>
      </c>
      <c r="AG103" s="28" t="str">
        <f>"6x750ml C"</f>
        <v>6x750ml C</v>
      </c>
    </row>
    <row r="104" spans="1:33" x14ac:dyDescent="0.25">
      <c r="A104" s="10" t="e">
        <f>IF(#REF!=0,"Hide","Show")</f>
        <v>#REF!</v>
      </c>
      <c r="B104" s="32" t="str">
        <f t="shared" si="183"/>
        <v>Lucien Le Moine</v>
      </c>
      <c r="C104" s="33" t="str">
        <f>"Volnay 1er Cru Brouillards"</f>
        <v>Volnay 1er Cru Brouillards</v>
      </c>
      <c r="D104" s="34">
        <v>3</v>
      </c>
      <c r="E104" s="34">
        <v>1500</v>
      </c>
      <c r="F104" s="34" t="str">
        <f>"2013"</f>
        <v>2013</v>
      </c>
      <c r="G104" s="34" t="str">
        <f t="shared" si="184"/>
        <v>Red</v>
      </c>
      <c r="H104" s="35" t="str">
        <f t="shared" si="185"/>
        <v>VOLNAY</v>
      </c>
      <c r="I104" s="35" t="str">
        <f t="shared" si="186"/>
        <v>PINOT NOIR</v>
      </c>
      <c r="J104" s="13" t="s">
        <v>75</v>
      </c>
      <c r="K104" s="13" t="s">
        <v>34</v>
      </c>
      <c r="L104" s="13" t="s">
        <v>34</v>
      </c>
      <c r="M104" s="13" t="s">
        <v>34</v>
      </c>
      <c r="N104" s="9">
        <v>13</v>
      </c>
      <c r="O104" s="13" t="str">
        <f t="shared" ref="O104:O105" si="193">IF(LEN(Q104)=12,"UPC",IF(LEN(Q104)&gt;12,"EAN",""))</f>
        <v/>
      </c>
      <c r="P104" s="13" t="str">
        <f t="shared" ref="P104:P105" si="194">IF(ISNUMBER(SEARCH("Gift",AG104)),"Gift Box","")</f>
        <v/>
      </c>
      <c r="Q104" s="36" t="str">
        <f t="shared" si="187"/>
        <v>NO UPC</v>
      </c>
      <c r="R104" s="36"/>
      <c r="S104" s="22">
        <v>0</v>
      </c>
      <c r="T104" s="22">
        <v>0</v>
      </c>
      <c r="U104" s="22">
        <v>3.33</v>
      </c>
      <c r="V104" s="22">
        <v>13</v>
      </c>
      <c r="W104" s="22">
        <v>10</v>
      </c>
      <c r="X104" s="22">
        <v>8</v>
      </c>
      <c r="Y104" s="13">
        <v>9.99</v>
      </c>
      <c r="Z104" s="22">
        <f t="shared" ref="Z104:Z105" si="195">IF(V104&gt;0,(V104*W104*X104)/1728,"")</f>
        <v>0.60185185185185186</v>
      </c>
      <c r="AA104" s="13">
        <v>15</v>
      </c>
      <c r="AB104" s="13">
        <v>6</v>
      </c>
      <c r="AC104" s="13">
        <v>90</v>
      </c>
      <c r="AD104" s="13">
        <f t="shared" ref="AD104:AD105" si="196">IF(AB104&gt;0,AB104*X104,"")</f>
        <v>48</v>
      </c>
      <c r="AE104" s="13">
        <f t="shared" ref="AE104:AE105" si="197">IF(Y104&gt;0,Y104*(AA104*AB104),"")</f>
        <v>899.1</v>
      </c>
      <c r="AG104" s="28" t="str">
        <f>"3x1.5L C"</f>
        <v>3x1.5L C</v>
      </c>
    </row>
    <row r="105" spans="1:33" x14ac:dyDescent="0.25">
      <c r="A105" s="10" t="e">
        <f>IF(#REF!=0,"Hide","Show")</f>
        <v>#REF!</v>
      </c>
      <c r="B105" s="32" t="str">
        <f t="shared" si="183"/>
        <v>Lucien Le Moine</v>
      </c>
      <c r="C105" s="33" t="str">
        <f>"Volnay 1er Cru Brouillards"</f>
        <v>Volnay 1er Cru Brouillards</v>
      </c>
      <c r="D105" s="34">
        <v>6</v>
      </c>
      <c r="E105" s="34">
        <v>750</v>
      </c>
      <c r="F105" s="34" t="str">
        <f>"2014"</f>
        <v>2014</v>
      </c>
      <c r="G105" s="34" t="str">
        <f t="shared" si="184"/>
        <v>Red</v>
      </c>
      <c r="H105" s="35" t="str">
        <f t="shared" si="185"/>
        <v>VOLNAY</v>
      </c>
      <c r="I105" s="35" t="str">
        <f t="shared" si="186"/>
        <v>PINOT NOIR</v>
      </c>
      <c r="J105" s="13" t="s">
        <v>75</v>
      </c>
      <c r="K105" s="13" t="s">
        <v>34</v>
      </c>
      <c r="L105" s="13" t="s">
        <v>34</v>
      </c>
      <c r="M105" s="13" t="s">
        <v>34</v>
      </c>
      <c r="N105" s="9">
        <v>13.5</v>
      </c>
      <c r="O105" s="13" t="str">
        <f t="shared" si="193"/>
        <v/>
      </c>
      <c r="P105" s="13" t="str">
        <f t="shared" si="194"/>
        <v/>
      </c>
      <c r="Q105" s="36" t="str">
        <f t="shared" si="187"/>
        <v>NO UPC</v>
      </c>
      <c r="R105" s="36"/>
      <c r="S105" s="22">
        <v>0</v>
      </c>
      <c r="T105" s="22">
        <v>0</v>
      </c>
      <c r="U105" s="22">
        <v>3.33</v>
      </c>
      <c r="V105" s="22">
        <v>13</v>
      </c>
      <c r="W105" s="22">
        <v>10</v>
      </c>
      <c r="X105" s="22">
        <v>8</v>
      </c>
      <c r="Y105" s="13">
        <v>20</v>
      </c>
      <c r="Z105" s="22">
        <f t="shared" si="195"/>
        <v>0.60185185185185186</v>
      </c>
      <c r="AA105" s="13">
        <v>15</v>
      </c>
      <c r="AB105" s="13">
        <v>6</v>
      </c>
      <c r="AC105" s="13">
        <v>90</v>
      </c>
      <c r="AD105" s="13">
        <f t="shared" si="196"/>
        <v>48</v>
      </c>
      <c r="AE105" s="13">
        <f t="shared" si="197"/>
        <v>1800</v>
      </c>
      <c r="AG105" s="28" t="str">
        <f>"6x750ml C"</f>
        <v>6x750ml C</v>
      </c>
    </row>
    <row r="106" spans="1:33" x14ac:dyDescent="0.25">
      <c r="A106" s="10" t="e">
        <f>IF(#REF!=0,"Hide","Show")</f>
        <v>#REF!</v>
      </c>
      <c r="B106" s="32" t="s">
        <v>71</v>
      </c>
      <c r="C106" s="33" t="s">
        <v>126</v>
      </c>
      <c r="D106" s="34">
        <v>6</v>
      </c>
      <c r="E106" s="34">
        <v>750</v>
      </c>
      <c r="F106" s="34" t="s">
        <v>87</v>
      </c>
      <c r="G106" s="34" t="s">
        <v>77</v>
      </c>
      <c r="H106" s="35" t="s">
        <v>127</v>
      </c>
      <c r="I106" s="35" t="s">
        <v>76</v>
      </c>
      <c r="J106" s="13" t="s">
        <v>75</v>
      </c>
      <c r="K106" s="13" t="s">
        <v>34</v>
      </c>
      <c r="L106" s="13" t="s">
        <v>34</v>
      </c>
      <c r="M106" s="13" t="s">
        <v>34</v>
      </c>
      <c r="N106" s="9">
        <v>13</v>
      </c>
      <c r="O106" s="13" t="str">
        <f t="shared" si="154"/>
        <v/>
      </c>
      <c r="P106" s="13" t="str">
        <f t="shared" si="155"/>
        <v/>
      </c>
      <c r="Q106" s="36" t="s">
        <v>91</v>
      </c>
      <c r="R106" s="36" t="s">
        <v>22</v>
      </c>
      <c r="S106" s="22">
        <v>0</v>
      </c>
      <c r="T106" s="22">
        <v>0</v>
      </c>
      <c r="U106" s="22">
        <v>3.33</v>
      </c>
      <c r="V106" s="22">
        <v>13</v>
      </c>
      <c r="W106" s="22">
        <v>10</v>
      </c>
      <c r="X106" s="22">
        <v>8</v>
      </c>
      <c r="Y106" s="13">
        <v>20</v>
      </c>
      <c r="Z106" s="22">
        <f t="shared" si="157"/>
        <v>0.60185185185185186</v>
      </c>
      <c r="AA106" s="13">
        <v>15</v>
      </c>
      <c r="AB106" s="13">
        <v>6</v>
      </c>
      <c r="AC106" s="13">
        <v>90</v>
      </c>
      <c r="AD106" s="13">
        <f t="shared" si="158"/>
        <v>48</v>
      </c>
      <c r="AE106" s="13">
        <f t="shared" si="159"/>
        <v>1800</v>
      </c>
      <c r="AG106" s="28" t="s">
        <v>73</v>
      </c>
    </row>
    <row r="107" spans="1:33" x14ac:dyDescent="0.25">
      <c r="A107" s="10" t="e">
        <f>IF(#REF!=0,"Hide","Show")</f>
        <v>#REF!</v>
      </c>
      <c r="B107" s="32" t="s">
        <v>71</v>
      </c>
      <c r="C107" s="33" t="s">
        <v>126</v>
      </c>
      <c r="D107" s="34">
        <v>6</v>
      </c>
      <c r="E107" s="34">
        <v>750</v>
      </c>
      <c r="F107" s="34" t="s">
        <v>93</v>
      </c>
      <c r="G107" s="34" t="s">
        <v>77</v>
      </c>
      <c r="H107" s="35" t="s">
        <v>127</v>
      </c>
      <c r="I107" s="35" t="s">
        <v>76</v>
      </c>
      <c r="J107" s="13" t="s">
        <v>75</v>
      </c>
      <c r="K107" s="13" t="s">
        <v>34</v>
      </c>
      <c r="L107" s="13" t="s">
        <v>34</v>
      </c>
      <c r="M107" s="13" t="s">
        <v>34</v>
      </c>
      <c r="N107" s="9">
        <v>13.5</v>
      </c>
      <c r="O107" s="13" t="str">
        <f t="shared" ref="O107" si="198">IF(LEN(Q107)=12,"UPC",IF(LEN(Q107)&gt;12,"EAN",""))</f>
        <v/>
      </c>
      <c r="P107" s="13" t="str">
        <f t="shared" ref="P107" si="199">IF(ISNUMBER(SEARCH("Gift",AG107)),"Gift Box","")</f>
        <v/>
      </c>
      <c r="Q107" s="36" t="s">
        <v>91</v>
      </c>
      <c r="R107" s="36" t="s">
        <v>22</v>
      </c>
      <c r="S107" s="22">
        <v>0</v>
      </c>
      <c r="T107" s="22">
        <v>0</v>
      </c>
      <c r="U107" s="22">
        <v>3.33</v>
      </c>
      <c r="V107" s="22">
        <v>13</v>
      </c>
      <c r="W107" s="22">
        <v>10</v>
      </c>
      <c r="X107" s="22">
        <v>8</v>
      </c>
      <c r="Y107" s="13">
        <v>20</v>
      </c>
      <c r="Z107" s="22">
        <f t="shared" ref="Z107" si="200">IF(V107&gt;0,(V107*W107*X107)/1728,"")</f>
        <v>0.60185185185185186</v>
      </c>
      <c r="AA107" s="13">
        <v>15</v>
      </c>
      <c r="AB107" s="13">
        <v>6</v>
      </c>
      <c r="AC107" s="13">
        <v>90</v>
      </c>
      <c r="AD107" s="13">
        <f t="shared" ref="AD107" si="201">IF(AB107&gt;0,AB107*X107,"")</f>
        <v>48</v>
      </c>
      <c r="AE107" s="13">
        <f t="shared" ref="AE107" si="202">IF(Y107&gt;0,Y107*(AA107*AB107),"")</f>
        <v>1800</v>
      </c>
      <c r="AG107" s="28" t="s">
        <v>73</v>
      </c>
    </row>
    <row r="108" spans="1:33" x14ac:dyDescent="0.25">
      <c r="A108" s="10" t="e">
        <f>IF(#REF!=0,"Hide","Show")</f>
        <v>#REF!</v>
      </c>
      <c r="B108" s="32" t="str">
        <f>"Lucien Le Moine"</f>
        <v>Lucien Le Moine</v>
      </c>
      <c r="C108" s="33" t="str">
        <f>"Volnay 1er Cru Clos des Chenes"</f>
        <v>Volnay 1er Cru Clos des Chenes</v>
      </c>
      <c r="D108" s="34">
        <v>6</v>
      </c>
      <c r="E108" s="34">
        <v>750</v>
      </c>
      <c r="F108" s="34" t="str">
        <f>"2011"</f>
        <v>2011</v>
      </c>
      <c r="G108" s="34" t="str">
        <f>"Red"</f>
        <v>Red</v>
      </c>
      <c r="H108" s="35" t="str">
        <f>"VOLNAY"</f>
        <v>VOLNAY</v>
      </c>
      <c r="I108" s="35" t="str">
        <f>"PINOT NOIR"</f>
        <v>PINOT NOIR</v>
      </c>
      <c r="J108" s="13" t="s">
        <v>75</v>
      </c>
      <c r="K108" s="13" t="s">
        <v>34</v>
      </c>
      <c r="L108" s="13" t="s">
        <v>34</v>
      </c>
      <c r="M108" s="13" t="s">
        <v>34</v>
      </c>
      <c r="N108" s="9">
        <v>13</v>
      </c>
      <c r="O108" s="13" t="str">
        <f t="shared" si="154"/>
        <v/>
      </c>
      <c r="P108" s="13" t="str">
        <f t="shared" si="155"/>
        <v/>
      </c>
      <c r="Q108" s="36" t="str">
        <f>"NO UPC"</f>
        <v>NO UPC</v>
      </c>
      <c r="R108" s="36"/>
      <c r="S108" s="22">
        <v>0</v>
      </c>
      <c r="T108" s="22">
        <v>0</v>
      </c>
      <c r="U108" s="22">
        <v>3.33</v>
      </c>
      <c r="V108" s="22">
        <v>13</v>
      </c>
      <c r="W108" s="22">
        <v>10</v>
      </c>
      <c r="X108" s="22">
        <v>8</v>
      </c>
      <c r="Y108" s="13">
        <v>20</v>
      </c>
      <c r="Z108" s="22">
        <f t="shared" si="157"/>
        <v>0.60185185185185186</v>
      </c>
      <c r="AA108" s="13">
        <v>15</v>
      </c>
      <c r="AB108" s="13">
        <v>6</v>
      </c>
      <c r="AC108" s="13">
        <v>90</v>
      </c>
      <c r="AD108" s="13">
        <f t="shared" si="158"/>
        <v>48</v>
      </c>
      <c r="AE108" s="13">
        <f t="shared" si="159"/>
        <v>1800</v>
      </c>
      <c r="AG108" s="28" t="str">
        <f>"6x750ml C"</f>
        <v>6x750ml C</v>
      </c>
    </row>
    <row r="109" spans="1:33" x14ac:dyDescent="0.25">
      <c r="A109" s="10" t="e">
        <f>IF(#REF!=0,"Hide","Show")</f>
        <v>#REF!</v>
      </c>
      <c r="B109" s="32" t="str">
        <f>"Lucien Le Moine"</f>
        <v>Lucien Le Moine</v>
      </c>
      <c r="C109" s="33" t="str">
        <f>"Volnay 1er Cru Clos des Chenes"</f>
        <v>Volnay 1er Cru Clos des Chenes</v>
      </c>
      <c r="D109" s="34">
        <v>6</v>
      </c>
      <c r="E109" s="34">
        <v>750</v>
      </c>
      <c r="F109" s="34" t="str">
        <f>"2013"</f>
        <v>2013</v>
      </c>
      <c r="G109" s="34" t="str">
        <f>"Red"</f>
        <v>Red</v>
      </c>
      <c r="H109" s="35" t="str">
        <f>"VOLNAY"</f>
        <v>VOLNAY</v>
      </c>
      <c r="I109" s="35" t="str">
        <f>"PINOT NOIR"</f>
        <v>PINOT NOIR</v>
      </c>
      <c r="J109" s="13" t="s">
        <v>75</v>
      </c>
      <c r="K109" s="13" t="s">
        <v>34</v>
      </c>
      <c r="L109" s="13" t="s">
        <v>34</v>
      </c>
      <c r="M109" s="13" t="s">
        <v>34</v>
      </c>
      <c r="N109" s="9">
        <v>13</v>
      </c>
      <c r="O109" s="13" t="str">
        <f t="shared" ref="O109:O110" si="203">IF(LEN(Q109)=12,"UPC",IF(LEN(Q109)&gt;12,"EAN",""))</f>
        <v/>
      </c>
      <c r="P109" s="13" t="str">
        <f t="shared" ref="P109:P110" si="204">IF(ISNUMBER(SEARCH("Gift",AG109)),"Gift Box","")</f>
        <v/>
      </c>
      <c r="Q109" s="36" t="str">
        <f>"NO UPC"</f>
        <v>NO UPC</v>
      </c>
      <c r="R109" s="36"/>
      <c r="S109" s="22">
        <v>0</v>
      </c>
      <c r="T109" s="22">
        <v>0</v>
      </c>
      <c r="U109" s="22">
        <v>3.33</v>
      </c>
      <c r="V109" s="22">
        <v>13</v>
      </c>
      <c r="W109" s="22">
        <v>10</v>
      </c>
      <c r="X109" s="22">
        <v>8</v>
      </c>
      <c r="Y109" s="13">
        <v>20</v>
      </c>
      <c r="Z109" s="22">
        <f t="shared" ref="Z109:Z110" si="205">IF(V109&gt;0,(V109*W109*X109)/1728,"")</f>
        <v>0.60185185185185186</v>
      </c>
      <c r="AA109" s="13">
        <v>15</v>
      </c>
      <c r="AB109" s="13">
        <v>6</v>
      </c>
      <c r="AC109" s="13">
        <v>90</v>
      </c>
      <c r="AD109" s="13">
        <f t="shared" ref="AD109:AD110" si="206">IF(AB109&gt;0,AB109*X109,"")</f>
        <v>48</v>
      </c>
      <c r="AE109" s="13">
        <f t="shared" ref="AE109:AE110" si="207">IF(Y109&gt;0,Y109*(AA109*AB109),"")</f>
        <v>1800</v>
      </c>
      <c r="AG109" s="28" t="str">
        <f>"6x750ml C"</f>
        <v>6x750ml C</v>
      </c>
    </row>
    <row r="110" spans="1:33" x14ac:dyDescent="0.25">
      <c r="A110" s="10" t="e">
        <f>IF(#REF!=0,"Hide","Show")</f>
        <v>#REF!</v>
      </c>
      <c r="B110" s="32" t="str">
        <f>"Lucien Le Moine"</f>
        <v>Lucien Le Moine</v>
      </c>
      <c r="C110" s="33" t="str">
        <f>"Volnay 1er Cru Clos des Chenes"</f>
        <v>Volnay 1er Cru Clos des Chenes</v>
      </c>
      <c r="D110" s="34">
        <v>6</v>
      </c>
      <c r="E110" s="34">
        <v>750</v>
      </c>
      <c r="F110" s="34" t="str">
        <f>"2014"</f>
        <v>2014</v>
      </c>
      <c r="G110" s="34" t="str">
        <f>"Red"</f>
        <v>Red</v>
      </c>
      <c r="H110" s="35" t="str">
        <f>"VOLNAY"</f>
        <v>VOLNAY</v>
      </c>
      <c r="I110" s="35" t="str">
        <f>"PINOT NOIR"</f>
        <v>PINOT NOIR</v>
      </c>
      <c r="J110" s="13" t="s">
        <v>75</v>
      </c>
      <c r="K110" s="13" t="s">
        <v>34</v>
      </c>
      <c r="L110" s="13" t="s">
        <v>34</v>
      </c>
      <c r="M110" s="13" t="s">
        <v>34</v>
      </c>
      <c r="N110" s="9">
        <v>13.5</v>
      </c>
      <c r="O110" s="13" t="str">
        <f t="shared" si="203"/>
        <v/>
      </c>
      <c r="P110" s="13" t="str">
        <f t="shared" si="204"/>
        <v/>
      </c>
      <c r="Q110" s="36" t="str">
        <f>"NO UPC"</f>
        <v>NO UPC</v>
      </c>
      <c r="R110" s="36"/>
      <c r="S110" s="22">
        <v>0</v>
      </c>
      <c r="T110" s="22">
        <v>0</v>
      </c>
      <c r="U110" s="22">
        <v>3.33</v>
      </c>
      <c r="V110" s="22">
        <v>13</v>
      </c>
      <c r="W110" s="22">
        <v>10</v>
      </c>
      <c r="X110" s="22">
        <v>8</v>
      </c>
      <c r="Y110" s="13">
        <v>20</v>
      </c>
      <c r="Z110" s="22">
        <f t="shared" si="205"/>
        <v>0.60185185185185186</v>
      </c>
      <c r="AA110" s="13">
        <v>15</v>
      </c>
      <c r="AB110" s="13">
        <v>6</v>
      </c>
      <c r="AC110" s="13">
        <v>90</v>
      </c>
      <c r="AD110" s="13">
        <f t="shared" si="206"/>
        <v>48</v>
      </c>
      <c r="AE110" s="13">
        <f t="shared" si="207"/>
        <v>1800</v>
      </c>
      <c r="AG110" s="28" t="str">
        <f>"6x750ml C"</f>
        <v>6x750ml C</v>
      </c>
    </row>
    <row r="111" spans="1:33" ht="6" customHeight="1" x14ac:dyDescent="0.25">
      <c r="B111" s="15"/>
      <c r="C111" s="12"/>
      <c r="D111" s="12"/>
      <c r="E111" s="12"/>
      <c r="F111" s="19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24"/>
      <c r="T111" s="24"/>
      <c r="U111" s="24"/>
      <c r="V111" s="24"/>
      <c r="W111" s="24"/>
      <c r="X111" s="24"/>
      <c r="Y111" s="12"/>
      <c r="Z111" s="12"/>
      <c r="AA111" s="12"/>
      <c r="AB111" s="12"/>
      <c r="AC111" s="12"/>
      <c r="AD111" s="12"/>
      <c r="AE111" s="12"/>
      <c r="AG111" s="27"/>
    </row>
    <row r="112" spans="1:33" x14ac:dyDescent="0.25">
      <c r="B112" s="21" t="str">
        <f>"NUITS RED GRAND CRU"</f>
        <v>NUITS RED GRAND CRU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23"/>
      <c r="T112" s="23"/>
      <c r="U112" s="23"/>
      <c r="V112" s="23"/>
      <c r="W112" s="23"/>
      <c r="X112" s="23"/>
      <c r="Y112" s="11"/>
      <c r="Z112" s="11"/>
      <c r="AA112" s="11"/>
      <c r="AB112" s="11"/>
      <c r="AC112" s="11"/>
      <c r="AD112" s="11"/>
      <c r="AE112" s="11"/>
      <c r="AG112" s="28"/>
    </row>
    <row r="113" spans="1:33" x14ac:dyDescent="0.25">
      <c r="A113" s="10" t="e">
        <f>IF(#REF!=0,"Hide","Show")</f>
        <v>#REF!</v>
      </c>
      <c r="B113" s="32" t="s">
        <v>71</v>
      </c>
      <c r="C113" s="33" t="s">
        <v>124</v>
      </c>
      <c r="D113" s="34">
        <v>6</v>
      </c>
      <c r="E113" s="34">
        <v>750</v>
      </c>
      <c r="F113" s="34" t="s">
        <v>86</v>
      </c>
      <c r="G113" s="34" t="s">
        <v>77</v>
      </c>
      <c r="H113" s="35" t="s">
        <v>125</v>
      </c>
      <c r="I113" s="35" t="s">
        <v>76</v>
      </c>
      <c r="J113" s="13" t="s">
        <v>75</v>
      </c>
      <c r="K113" s="13" t="s">
        <v>34</v>
      </c>
      <c r="L113" s="13" t="s">
        <v>34</v>
      </c>
      <c r="M113" s="13" t="s">
        <v>34</v>
      </c>
      <c r="N113" s="9">
        <v>14</v>
      </c>
      <c r="O113" s="13" t="str">
        <f t="shared" ref="O113" si="208">IF(LEN(Q113)=12,"UPC",IF(LEN(Q113)&gt;12,"EAN",""))</f>
        <v/>
      </c>
      <c r="P113" s="13" t="str">
        <f t="shared" ref="P113" si="209">IF(ISNUMBER(SEARCH("Gift",AG113)),"Gift Box","")</f>
        <v/>
      </c>
      <c r="Q113" s="36" t="s">
        <v>91</v>
      </c>
      <c r="R113" s="36" t="s">
        <v>22</v>
      </c>
      <c r="S113" s="22">
        <v>0</v>
      </c>
      <c r="T113" s="22">
        <v>0</v>
      </c>
      <c r="U113" s="22">
        <v>3.33</v>
      </c>
      <c r="V113" s="22">
        <v>13</v>
      </c>
      <c r="W113" s="22">
        <v>10</v>
      </c>
      <c r="X113" s="22">
        <v>8</v>
      </c>
      <c r="Y113" s="13">
        <v>20</v>
      </c>
      <c r="Z113" s="22">
        <f t="shared" ref="Z113" si="210">IF(V113&gt;0,(V113*W113*X113)/1728,"")</f>
        <v>0.60185185185185186</v>
      </c>
      <c r="AA113" s="13">
        <v>15</v>
      </c>
      <c r="AB113" s="13">
        <v>6</v>
      </c>
      <c r="AC113" s="13">
        <v>90</v>
      </c>
      <c r="AD113" s="13">
        <f t="shared" ref="AD113" si="211">IF(AB113&gt;0,AB113*X113,"")</f>
        <v>48</v>
      </c>
      <c r="AE113" s="13">
        <f t="shared" ref="AE113" si="212">IF(Y113&gt;0,Y113*(AA113*AB113),"")</f>
        <v>1800</v>
      </c>
      <c r="AG113" s="28" t="s">
        <v>73</v>
      </c>
    </row>
    <row r="114" spans="1:33" x14ac:dyDescent="0.25">
      <c r="A114" s="10" t="e">
        <f>IF(#REF!=0,"Hide","Show")</f>
        <v>#REF!</v>
      </c>
      <c r="B114" s="32" t="s">
        <v>71</v>
      </c>
      <c r="C114" s="33" t="s">
        <v>124</v>
      </c>
      <c r="D114" s="34">
        <v>6</v>
      </c>
      <c r="E114" s="34">
        <v>750</v>
      </c>
      <c r="F114" s="34" t="s">
        <v>93</v>
      </c>
      <c r="G114" s="34" t="s">
        <v>77</v>
      </c>
      <c r="H114" s="35" t="s">
        <v>125</v>
      </c>
      <c r="I114" s="35" t="s">
        <v>76</v>
      </c>
      <c r="J114" s="13" t="s">
        <v>75</v>
      </c>
      <c r="K114" s="13" t="s">
        <v>34</v>
      </c>
      <c r="L114" s="13" t="s">
        <v>34</v>
      </c>
      <c r="M114" s="13" t="s">
        <v>34</v>
      </c>
      <c r="N114" s="9">
        <v>13.5</v>
      </c>
      <c r="O114" s="13" t="str">
        <f t="shared" ref="O114" si="213">IF(LEN(Q114)=12,"UPC",IF(LEN(Q114)&gt;12,"EAN",""))</f>
        <v/>
      </c>
      <c r="P114" s="13" t="str">
        <f t="shared" ref="P114" si="214">IF(ISNUMBER(SEARCH("Gift",AG114)),"Gift Box","")</f>
        <v/>
      </c>
      <c r="Q114" s="36" t="s">
        <v>91</v>
      </c>
      <c r="R114" s="36" t="s">
        <v>22</v>
      </c>
      <c r="S114" s="22">
        <v>0</v>
      </c>
      <c r="T114" s="22">
        <v>0</v>
      </c>
      <c r="U114" s="22">
        <v>3.33</v>
      </c>
      <c r="V114" s="22">
        <v>13</v>
      </c>
      <c r="W114" s="22">
        <v>10</v>
      </c>
      <c r="X114" s="22">
        <v>8</v>
      </c>
      <c r="Y114" s="13">
        <v>19.98</v>
      </c>
      <c r="Z114" s="22">
        <f t="shared" ref="Z114" si="215">IF(V114&gt;0,(V114*W114*X114)/1728,"")</f>
        <v>0.60185185185185186</v>
      </c>
      <c r="AA114" s="13">
        <v>15</v>
      </c>
      <c r="AB114" s="13">
        <v>6</v>
      </c>
      <c r="AC114" s="13">
        <v>90</v>
      </c>
      <c r="AD114" s="13">
        <f t="shared" ref="AD114" si="216">IF(AB114&gt;0,AB114*X114,"")</f>
        <v>48</v>
      </c>
      <c r="AE114" s="13">
        <f t="shared" ref="AE114" si="217">IF(Y114&gt;0,Y114*(AA114*AB114),"")</f>
        <v>1798.2</v>
      </c>
      <c r="AG114" s="28" t="s">
        <v>73</v>
      </c>
    </row>
    <row r="115" spans="1:33" x14ac:dyDescent="0.25">
      <c r="A115" s="10" t="e">
        <f>IF(#REF!=0,"Hide","Show")</f>
        <v>#REF!</v>
      </c>
      <c r="B115" s="32" t="s">
        <v>71</v>
      </c>
      <c r="C115" s="33" t="s">
        <v>122</v>
      </c>
      <c r="D115" s="34">
        <v>6</v>
      </c>
      <c r="E115" s="34">
        <v>750</v>
      </c>
      <c r="F115" s="34" t="s">
        <v>87</v>
      </c>
      <c r="G115" s="34" t="s">
        <v>77</v>
      </c>
      <c r="H115" s="35" t="s">
        <v>123</v>
      </c>
      <c r="I115" s="35" t="s">
        <v>76</v>
      </c>
      <c r="J115" s="13" t="s">
        <v>75</v>
      </c>
      <c r="K115" s="13" t="s">
        <v>34</v>
      </c>
      <c r="L115" s="13" t="s">
        <v>34</v>
      </c>
      <c r="M115" s="13" t="s">
        <v>34</v>
      </c>
      <c r="N115" s="9">
        <v>13</v>
      </c>
      <c r="O115" s="13" t="str">
        <f t="shared" ref="O115:O144" si="218">IF(LEN(Q115)=12,"UPC",IF(LEN(Q115)&gt;12,"EAN",""))</f>
        <v/>
      </c>
      <c r="P115" s="13" t="str">
        <f t="shared" ref="P115:P144" si="219">IF(ISNUMBER(SEARCH("Gift",AG115)),"Gift Box","")</f>
        <v/>
      </c>
      <c r="Q115" s="36" t="s">
        <v>91</v>
      </c>
      <c r="R115" s="36" t="s">
        <v>22</v>
      </c>
      <c r="S115" s="22">
        <v>0</v>
      </c>
      <c r="T115" s="22">
        <v>0</v>
      </c>
      <c r="U115" s="22">
        <v>3.33</v>
      </c>
      <c r="V115" s="22">
        <v>13</v>
      </c>
      <c r="W115" s="22">
        <v>10</v>
      </c>
      <c r="X115" s="22">
        <v>8</v>
      </c>
      <c r="Y115" s="13">
        <v>20</v>
      </c>
      <c r="Z115" s="22">
        <f t="shared" ref="Z115:Z144" si="220">IF(V115&gt;0,(V115*W115*X115)/1728,"")</f>
        <v>0.60185185185185186</v>
      </c>
      <c r="AA115" s="13">
        <v>15</v>
      </c>
      <c r="AB115" s="13">
        <v>6</v>
      </c>
      <c r="AC115" s="13">
        <v>90</v>
      </c>
      <c r="AD115" s="13">
        <f t="shared" ref="AD115:AD144" si="221">IF(AB115&gt;0,AB115*X115,"")</f>
        <v>48</v>
      </c>
      <c r="AE115" s="13">
        <f t="shared" ref="AE115:AE144" si="222">IF(Y115&gt;0,Y115*(AA115*AB115),"")</f>
        <v>1800</v>
      </c>
      <c r="AG115" s="28" t="s">
        <v>73</v>
      </c>
    </row>
    <row r="116" spans="1:33" x14ac:dyDescent="0.25">
      <c r="A116" s="10" t="e">
        <f>IF(#REF!=0,"Hide","Show")</f>
        <v>#REF!</v>
      </c>
      <c r="B116" s="32" t="s">
        <v>71</v>
      </c>
      <c r="C116" s="33" t="s">
        <v>122</v>
      </c>
      <c r="D116" s="34">
        <v>6</v>
      </c>
      <c r="E116" s="34">
        <v>750</v>
      </c>
      <c r="F116" s="34" t="s">
        <v>93</v>
      </c>
      <c r="G116" s="34" t="s">
        <v>77</v>
      </c>
      <c r="H116" s="35" t="s">
        <v>123</v>
      </c>
      <c r="I116" s="35" t="s">
        <v>76</v>
      </c>
      <c r="J116" s="13" t="s">
        <v>75</v>
      </c>
      <c r="K116" s="13" t="s">
        <v>34</v>
      </c>
      <c r="L116" s="13" t="s">
        <v>34</v>
      </c>
      <c r="M116" s="13" t="s">
        <v>34</v>
      </c>
      <c r="N116" s="9">
        <v>13.5</v>
      </c>
      <c r="O116" s="13" t="str">
        <f t="shared" ref="O116" si="223">IF(LEN(Q116)=12,"UPC",IF(LEN(Q116)&gt;12,"EAN",""))</f>
        <v/>
      </c>
      <c r="P116" s="13" t="str">
        <f t="shared" ref="P116" si="224">IF(ISNUMBER(SEARCH("Gift",AG116)),"Gift Box","")</f>
        <v/>
      </c>
      <c r="Q116" s="36" t="s">
        <v>91</v>
      </c>
      <c r="R116" s="36" t="s">
        <v>22</v>
      </c>
      <c r="S116" s="22">
        <v>0</v>
      </c>
      <c r="T116" s="22">
        <v>0</v>
      </c>
      <c r="U116" s="22">
        <v>3.33</v>
      </c>
      <c r="V116" s="22">
        <v>13</v>
      </c>
      <c r="W116" s="22">
        <v>10</v>
      </c>
      <c r="X116" s="22">
        <v>8</v>
      </c>
      <c r="Y116" s="13">
        <v>20</v>
      </c>
      <c r="Z116" s="22">
        <f t="shared" ref="Z116" si="225">IF(V116&gt;0,(V116*W116*X116)/1728,"")</f>
        <v>0.60185185185185186</v>
      </c>
      <c r="AA116" s="13">
        <v>15</v>
      </c>
      <c r="AB116" s="13">
        <v>6</v>
      </c>
      <c r="AC116" s="13">
        <v>90</v>
      </c>
      <c r="AD116" s="13">
        <f t="shared" ref="AD116" si="226">IF(AB116&gt;0,AB116*X116,"")</f>
        <v>48</v>
      </c>
      <c r="AE116" s="13">
        <f t="shared" ref="AE116" si="227">IF(Y116&gt;0,Y116*(AA116*AB116),"")</f>
        <v>1800</v>
      </c>
      <c r="AG116" s="28" t="s">
        <v>73</v>
      </c>
    </row>
    <row r="117" spans="1:33" x14ac:dyDescent="0.25">
      <c r="A117" s="10" t="e">
        <f>IF(#REF!=0,"Hide","Show")</f>
        <v>#REF!</v>
      </c>
      <c r="B117" s="32" t="str">
        <f t="shared" ref="B117:B125" si="228">"Lucien Le Moine"</f>
        <v>Lucien Le Moine</v>
      </c>
      <c r="C117" s="33" t="str">
        <f>"Echezeaux Grand Cru"</f>
        <v>Echezeaux Grand Cru</v>
      </c>
      <c r="D117" s="34">
        <v>6</v>
      </c>
      <c r="E117" s="34">
        <v>750</v>
      </c>
      <c r="F117" s="34" t="str">
        <f>"2011"</f>
        <v>2011</v>
      </c>
      <c r="G117" s="34" t="str">
        <f t="shared" ref="G117:G125" si="229">"Red"</f>
        <v>Red</v>
      </c>
      <c r="H117" s="35" t="str">
        <f>"ECHEZEAUX"</f>
        <v>ECHEZEAUX</v>
      </c>
      <c r="I117" s="35" t="str">
        <f t="shared" ref="I117:I125" si="230">"PINOT NOIR"</f>
        <v>PINOT NOIR</v>
      </c>
      <c r="J117" s="13" t="s">
        <v>75</v>
      </c>
      <c r="K117" s="13" t="s">
        <v>34</v>
      </c>
      <c r="L117" s="13" t="s">
        <v>34</v>
      </c>
      <c r="M117" s="13" t="s">
        <v>34</v>
      </c>
      <c r="N117" s="9">
        <v>13.5</v>
      </c>
      <c r="O117" s="13" t="str">
        <f t="shared" si="218"/>
        <v/>
      </c>
      <c r="P117" s="13" t="str">
        <f t="shared" si="219"/>
        <v/>
      </c>
      <c r="Q117" s="36" t="str">
        <f t="shared" ref="Q117:Q125" si="231">"NO UPC"</f>
        <v>NO UPC</v>
      </c>
      <c r="R117" s="36"/>
      <c r="S117" s="22">
        <v>0</v>
      </c>
      <c r="T117" s="22">
        <v>0</v>
      </c>
      <c r="U117" s="22">
        <v>3.33</v>
      </c>
      <c r="V117" s="22">
        <v>13</v>
      </c>
      <c r="W117" s="22">
        <v>10</v>
      </c>
      <c r="X117" s="22">
        <v>8</v>
      </c>
      <c r="Y117" s="13">
        <v>20</v>
      </c>
      <c r="Z117" s="22">
        <f t="shared" si="220"/>
        <v>0.60185185185185186</v>
      </c>
      <c r="AA117" s="13">
        <v>15</v>
      </c>
      <c r="AB117" s="13">
        <v>6</v>
      </c>
      <c r="AC117" s="13">
        <v>90</v>
      </c>
      <c r="AD117" s="13">
        <f t="shared" si="221"/>
        <v>48</v>
      </c>
      <c r="AE117" s="13">
        <f t="shared" si="222"/>
        <v>1800</v>
      </c>
      <c r="AG117" s="28" t="str">
        <f>"6x750ml C"</f>
        <v>6x750ml C</v>
      </c>
    </row>
    <row r="118" spans="1:33" x14ac:dyDescent="0.25">
      <c r="A118" s="10" t="e">
        <f>IF(#REF!=0,"Hide","Show")</f>
        <v>#REF!</v>
      </c>
      <c r="B118" s="32" t="str">
        <f t="shared" si="228"/>
        <v>Lucien Le Moine</v>
      </c>
      <c r="C118" s="33" t="str">
        <f>"Echezeaux Grand Cru"</f>
        <v>Echezeaux Grand Cru</v>
      </c>
      <c r="D118" s="34">
        <v>6</v>
      </c>
      <c r="E118" s="34">
        <v>750</v>
      </c>
      <c r="F118" s="34" t="str">
        <f>"2013"</f>
        <v>2013</v>
      </c>
      <c r="G118" s="34" t="str">
        <f t="shared" si="229"/>
        <v>Red</v>
      </c>
      <c r="H118" s="35" t="str">
        <f>"ECHEZEAUX"</f>
        <v>ECHEZEAUX</v>
      </c>
      <c r="I118" s="35" t="str">
        <f t="shared" si="230"/>
        <v>PINOT NOIR</v>
      </c>
      <c r="J118" s="13" t="s">
        <v>75</v>
      </c>
      <c r="K118" s="13" t="s">
        <v>34</v>
      </c>
      <c r="L118" s="13" t="s">
        <v>34</v>
      </c>
      <c r="M118" s="13" t="s">
        <v>34</v>
      </c>
      <c r="N118" s="9">
        <v>13</v>
      </c>
      <c r="O118" s="13" t="str">
        <f t="shared" ref="O118:O120" si="232">IF(LEN(Q118)=12,"UPC",IF(LEN(Q118)&gt;12,"EAN",""))</f>
        <v/>
      </c>
      <c r="P118" s="13" t="str">
        <f t="shared" ref="P118:P120" si="233">IF(ISNUMBER(SEARCH("Gift",AG118)),"Gift Box","")</f>
        <v/>
      </c>
      <c r="Q118" s="36" t="str">
        <f t="shared" si="231"/>
        <v>NO UPC</v>
      </c>
      <c r="R118" s="36"/>
      <c r="S118" s="22">
        <v>0</v>
      </c>
      <c r="T118" s="22">
        <v>0</v>
      </c>
      <c r="U118" s="22">
        <v>3.33</v>
      </c>
      <c r="V118" s="22">
        <v>13</v>
      </c>
      <c r="W118" s="22">
        <v>10</v>
      </c>
      <c r="X118" s="22">
        <v>8</v>
      </c>
      <c r="Y118" s="13">
        <v>20</v>
      </c>
      <c r="Z118" s="22">
        <f t="shared" ref="Z118:Z120" si="234">IF(V118&gt;0,(V118*W118*X118)/1728,"")</f>
        <v>0.60185185185185186</v>
      </c>
      <c r="AA118" s="13">
        <v>15</v>
      </c>
      <c r="AB118" s="13">
        <v>6</v>
      </c>
      <c r="AC118" s="13">
        <v>90</v>
      </c>
      <c r="AD118" s="13">
        <f t="shared" ref="AD118:AD120" si="235">IF(AB118&gt;0,AB118*X118,"")</f>
        <v>48</v>
      </c>
      <c r="AE118" s="13">
        <f t="shared" ref="AE118:AE120" si="236">IF(Y118&gt;0,Y118*(AA118*AB118),"")</f>
        <v>1800</v>
      </c>
      <c r="AG118" s="28" t="str">
        <f>"6x750ml C"</f>
        <v>6x750ml C</v>
      </c>
    </row>
    <row r="119" spans="1:33" x14ac:dyDescent="0.25">
      <c r="A119" s="10" t="e">
        <f>IF(#REF!=0,"Hide","Show")</f>
        <v>#REF!</v>
      </c>
      <c r="B119" s="32" t="str">
        <f t="shared" si="228"/>
        <v>Lucien Le Moine</v>
      </c>
      <c r="C119" s="33" t="str">
        <f>"Echezeaux Grand Cru"</f>
        <v>Echezeaux Grand Cru</v>
      </c>
      <c r="D119" s="34">
        <v>3</v>
      </c>
      <c r="E119" s="34">
        <v>1500</v>
      </c>
      <c r="F119" s="34" t="str">
        <f>"2013"</f>
        <v>2013</v>
      </c>
      <c r="G119" s="34" t="str">
        <f t="shared" si="229"/>
        <v>Red</v>
      </c>
      <c r="H119" s="35" t="str">
        <f>"ECHEZEAUX"</f>
        <v>ECHEZEAUX</v>
      </c>
      <c r="I119" s="35" t="str">
        <f t="shared" si="230"/>
        <v>PINOT NOIR</v>
      </c>
      <c r="J119" s="13" t="s">
        <v>75</v>
      </c>
      <c r="K119" s="13" t="s">
        <v>34</v>
      </c>
      <c r="L119" s="13" t="s">
        <v>34</v>
      </c>
      <c r="M119" s="13" t="s">
        <v>34</v>
      </c>
      <c r="N119" s="9">
        <v>13</v>
      </c>
      <c r="O119" s="13" t="str">
        <f t="shared" si="232"/>
        <v/>
      </c>
      <c r="P119" s="13" t="str">
        <f t="shared" si="233"/>
        <v/>
      </c>
      <c r="Q119" s="36" t="str">
        <f t="shared" si="231"/>
        <v>NO UPC</v>
      </c>
      <c r="R119" s="36"/>
      <c r="S119" s="22">
        <v>0</v>
      </c>
      <c r="T119" s="22">
        <v>0</v>
      </c>
      <c r="U119" s="22">
        <v>3.33</v>
      </c>
      <c r="V119" s="22">
        <v>13</v>
      </c>
      <c r="W119" s="22">
        <v>10</v>
      </c>
      <c r="X119" s="22">
        <v>8</v>
      </c>
      <c r="Y119" s="13">
        <v>9.99</v>
      </c>
      <c r="Z119" s="22">
        <f t="shared" si="234"/>
        <v>0.60185185185185186</v>
      </c>
      <c r="AA119" s="13">
        <v>15</v>
      </c>
      <c r="AB119" s="13">
        <v>6</v>
      </c>
      <c r="AC119" s="13">
        <v>90</v>
      </c>
      <c r="AD119" s="13">
        <f t="shared" si="235"/>
        <v>48</v>
      </c>
      <c r="AE119" s="13">
        <f t="shared" si="236"/>
        <v>899.1</v>
      </c>
      <c r="AG119" s="28" t="str">
        <f>"3x1.5L C"</f>
        <v>3x1.5L C</v>
      </c>
    </row>
    <row r="120" spans="1:33" x14ac:dyDescent="0.25">
      <c r="A120" s="10" t="e">
        <f>IF(#REF!=0,"Hide","Show")</f>
        <v>#REF!</v>
      </c>
      <c r="B120" s="32" t="str">
        <f t="shared" si="228"/>
        <v>Lucien Le Moine</v>
      </c>
      <c r="C120" s="33" t="str">
        <f>"Echezeaux Grand Cru"</f>
        <v>Echezeaux Grand Cru</v>
      </c>
      <c r="D120" s="34">
        <v>6</v>
      </c>
      <c r="E120" s="34">
        <v>750</v>
      </c>
      <c r="F120" s="34" t="str">
        <f>"2014"</f>
        <v>2014</v>
      </c>
      <c r="G120" s="34" t="str">
        <f t="shared" si="229"/>
        <v>Red</v>
      </c>
      <c r="H120" s="35" t="str">
        <f>"ECHEZEAUX"</f>
        <v>ECHEZEAUX</v>
      </c>
      <c r="I120" s="35" t="str">
        <f t="shared" si="230"/>
        <v>PINOT NOIR</v>
      </c>
      <c r="J120" s="13" t="s">
        <v>75</v>
      </c>
      <c r="K120" s="13" t="s">
        <v>34</v>
      </c>
      <c r="L120" s="13" t="s">
        <v>34</v>
      </c>
      <c r="M120" s="13" t="s">
        <v>34</v>
      </c>
      <c r="N120" s="9">
        <v>13.5</v>
      </c>
      <c r="O120" s="13" t="str">
        <f t="shared" si="232"/>
        <v/>
      </c>
      <c r="P120" s="13" t="str">
        <f t="shared" si="233"/>
        <v/>
      </c>
      <c r="Q120" s="36" t="str">
        <f t="shared" si="231"/>
        <v>NO UPC</v>
      </c>
      <c r="R120" s="36"/>
      <c r="S120" s="22">
        <v>0</v>
      </c>
      <c r="T120" s="22">
        <v>0</v>
      </c>
      <c r="U120" s="22">
        <v>3.33</v>
      </c>
      <c r="V120" s="22">
        <v>13</v>
      </c>
      <c r="W120" s="22">
        <v>10</v>
      </c>
      <c r="X120" s="22">
        <v>8</v>
      </c>
      <c r="Y120" s="13">
        <v>20</v>
      </c>
      <c r="Z120" s="22">
        <f t="shared" si="234"/>
        <v>0.60185185185185186</v>
      </c>
      <c r="AA120" s="13">
        <v>15</v>
      </c>
      <c r="AB120" s="13">
        <v>6</v>
      </c>
      <c r="AC120" s="13">
        <v>90</v>
      </c>
      <c r="AD120" s="13">
        <f t="shared" si="235"/>
        <v>48</v>
      </c>
      <c r="AE120" s="13">
        <f t="shared" si="236"/>
        <v>1800</v>
      </c>
      <c r="AG120" s="28" t="str">
        <f>"6x750ml C"</f>
        <v>6x750ml C</v>
      </c>
    </row>
    <row r="121" spans="1:33" x14ac:dyDescent="0.25">
      <c r="A121" s="10" t="e">
        <f>IF(#REF!=0,"Hide","Show")</f>
        <v>#REF!</v>
      </c>
      <c r="B121" s="32" t="str">
        <f t="shared" si="228"/>
        <v>Lucien Le Moine</v>
      </c>
      <c r="C121" s="33" t="str">
        <f>"Clos de Vougeot Grand Cru"</f>
        <v>Clos de Vougeot Grand Cru</v>
      </c>
      <c r="D121" s="34">
        <v>6</v>
      </c>
      <c r="E121" s="34">
        <v>750</v>
      </c>
      <c r="F121" s="34" t="str">
        <f>"2011"</f>
        <v>2011</v>
      </c>
      <c r="G121" s="34" t="str">
        <f t="shared" si="229"/>
        <v>Red</v>
      </c>
      <c r="H121" s="35" t="str">
        <f>"CLOS DE VOUGEOT"</f>
        <v>CLOS DE VOUGEOT</v>
      </c>
      <c r="I121" s="35" t="str">
        <f t="shared" si="230"/>
        <v>PINOT NOIR</v>
      </c>
      <c r="J121" s="13" t="s">
        <v>75</v>
      </c>
      <c r="K121" s="13" t="s">
        <v>34</v>
      </c>
      <c r="L121" s="13" t="s">
        <v>34</v>
      </c>
      <c r="M121" s="13" t="s">
        <v>34</v>
      </c>
      <c r="N121" s="9">
        <v>13.5</v>
      </c>
      <c r="O121" s="13" t="str">
        <f t="shared" si="218"/>
        <v/>
      </c>
      <c r="P121" s="13" t="str">
        <f t="shared" si="219"/>
        <v/>
      </c>
      <c r="Q121" s="36" t="str">
        <f t="shared" si="231"/>
        <v>NO UPC</v>
      </c>
      <c r="R121" s="36"/>
      <c r="S121" s="22">
        <v>0</v>
      </c>
      <c r="T121" s="22">
        <v>0</v>
      </c>
      <c r="U121" s="22">
        <v>3.33</v>
      </c>
      <c r="V121" s="22">
        <v>13</v>
      </c>
      <c r="W121" s="22">
        <v>10</v>
      </c>
      <c r="X121" s="22">
        <v>8</v>
      </c>
      <c r="Y121" s="13">
        <v>20</v>
      </c>
      <c r="Z121" s="22">
        <f t="shared" si="220"/>
        <v>0.60185185185185186</v>
      </c>
      <c r="AA121" s="13">
        <v>15</v>
      </c>
      <c r="AB121" s="13">
        <v>6</v>
      </c>
      <c r="AC121" s="13">
        <v>90</v>
      </c>
      <c r="AD121" s="13">
        <f t="shared" si="221"/>
        <v>48</v>
      </c>
      <c r="AE121" s="13">
        <f t="shared" si="222"/>
        <v>1800</v>
      </c>
      <c r="AG121" s="28" t="str">
        <f>"6x750ml C"</f>
        <v>6x750ml C</v>
      </c>
    </row>
    <row r="122" spans="1:33" x14ac:dyDescent="0.25">
      <c r="A122" s="10" t="e">
        <f>IF(#REF!=0,"Hide","Show")</f>
        <v>#REF!</v>
      </c>
      <c r="B122" s="32" t="str">
        <f t="shared" si="228"/>
        <v>Lucien Le Moine</v>
      </c>
      <c r="C122" s="33" t="str">
        <f>"Clos de Vougeot Grand Cru"</f>
        <v>Clos de Vougeot Grand Cru</v>
      </c>
      <c r="D122" s="34">
        <v>6</v>
      </c>
      <c r="E122" s="34">
        <v>750</v>
      </c>
      <c r="F122" s="34" t="str">
        <f>"2012"</f>
        <v>2012</v>
      </c>
      <c r="G122" s="34" t="str">
        <f t="shared" si="229"/>
        <v>Red</v>
      </c>
      <c r="H122" s="35" t="str">
        <f>"CLOS DE VOUGEOT"</f>
        <v>CLOS DE VOUGEOT</v>
      </c>
      <c r="I122" s="35" t="str">
        <f t="shared" si="230"/>
        <v>PINOT NOIR</v>
      </c>
      <c r="J122" s="13" t="s">
        <v>75</v>
      </c>
      <c r="K122" s="13" t="s">
        <v>34</v>
      </c>
      <c r="L122" s="13" t="s">
        <v>34</v>
      </c>
      <c r="M122" s="13" t="s">
        <v>34</v>
      </c>
      <c r="N122" s="9">
        <v>13.5</v>
      </c>
      <c r="O122" s="13" t="str">
        <f t="shared" ref="O122:O125" si="237">IF(LEN(Q122)=12,"UPC",IF(LEN(Q122)&gt;12,"EAN",""))</f>
        <v/>
      </c>
      <c r="P122" s="13" t="str">
        <f t="shared" ref="P122:P125" si="238">IF(ISNUMBER(SEARCH("Gift",AG122)),"Gift Box","")</f>
        <v/>
      </c>
      <c r="Q122" s="36" t="str">
        <f t="shared" si="231"/>
        <v>NO UPC</v>
      </c>
      <c r="R122" s="36"/>
      <c r="S122" s="22">
        <v>0</v>
      </c>
      <c r="T122" s="22">
        <v>0</v>
      </c>
      <c r="U122" s="22">
        <v>3.33</v>
      </c>
      <c r="V122" s="22">
        <v>13</v>
      </c>
      <c r="W122" s="22">
        <v>10</v>
      </c>
      <c r="X122" s="22">
        <v>8</v>
      </c>
      <c r="Y122" s="13">
        <v>20</v>
      </c>
      <c r="Z122" s="22">
        <f t="shared" ref="Z122:Z125" si="239">IF(V122&gt;0,(V122*W122*X122)/1728,"")</f>
        <v>0.60185185185185186</v>
      </c>
      <c r="AA122" s="13">
        <v>15</v>
      </c>
      <c r="AB122" s="13">
        <v>6</v>
      </c>
      <c r="AC122" s="13">
        <v>90</v>
      </c>
      <c r="AD122" s="13">
        <f t="shared" ref="AD122:AD125" si="240">IF(AB122&gt;0,AB122*X122,"")</f>
        <v>48</v>
      </c>
      <c r="AE122" s="13">
        <f t="shared" ref="AE122:AE125" si="241">IF(Y122&gt;0,Y122*(AA122*AB122),"")</f>
        <v>1800</v>
      </c>
      <c r="AG122" s="28" t="str">
        <f>"6x750ml C"</f>
        <v>6x750ml C</v>
      </c>
    </row>
    <row r="123" spans="1:33" x14ac:dyDescent="0.25">
      <c r="A123" s="10" t="e">
        <f>IF(#REF!=0,"Hide","Show")</f>
        <v>#REF!</v>
      </c>
      <c r="B123" s="32" t="str">
        <f t="shared" si="228"/>
        <v>Lucien Le Moine</v>
      </c>
      <c r="C123" s="33" t="str">
        <f>"Clos de Vougeot Grand Cru"</f>
        <v>Clos de Vougeot Grand Cru</v>
      </c>
      <c r="D123" s="34">
        <v>3</v>
      </c>
      <c r="E123" s="34">
        <v>1500</v>
      </c>
      <c r="F123" s="34" t="str">
        <f>"2012"</f>
        <v>2012</v>
      </c>
      <c r="G123" s="34" t="str">
        <f t="shared" si="229"/>
        <v>Red</v>
      </c>
      <c r="H123" s="35" t="str">
        <f>"CLOS DE VOUGEOT"</f>
        <v>CLOS DE VOUGEOT</v>
      </c>
      <c r="I123" s="35" t="str">
        <f t="shared" si="230"/>
        <v>PINOT NOIR</v>
      </c>
      <c r="J123" s="13" t="s">
        <v>75</v>
      </c>
      <c r="K123" s="13" t="s">
        <v>34</v>
      </c>
      <c r="L123" s="13" t="s">
        <v>34</v>
      </c>
      <c r="M123" s="13" t="s">
        <v>34</v>
      </c>
      <c r="N123" s="9">
        <v>13.5</v>
      </c>
      <c r="O123" s="13" t="str">
        <f t="shared" si="237"/>
        <v/>
      </c>
      <c r="P123" s="13" t="str">
        <f t="shared" si="238"/>
        <v/>
      </c>
      <c r="Q123" s="36" t="str">
        <f t="shared" si="231"/>
        <v>NO UPC</v>
      </c>
      <c r="R123" s="36"/>
      <c r="S123" s="22">
        <v>0</v>
      </c>
      <c r="T123" s="22">
        <v>0</v>
      </c>
      <c r="U123" s="22">
        <v>3.33</v>
      </c>
      <c r="V123" s="22">
        <v>13</v>
      </c>
      <c r="W123" s="22">
        <v>10</v>
      </c>
      <c r="X123" s="22">
        <v>8</v>
      </c>
      <c r="Y123" s="13">
        <v>9.99</v>
      </c>
      <c r="Z123" s="22">
        <f t="shared" si="239"/>
        <v>0.60185185185185186</v>
      </c>
      <c r="AA123" s="13">
        <v>15</v>
      </c>
      <c r="AB123" s="13">
        <v>6</v>
      </c>
      <c r="AC123" s="13">
        <v>90</v>
      </c>
      <c r="AD123" s="13">
        <f t="shared" si="240"/>
        <v>48</v>
      </c>
      <c r="AE123" s="13">
        <f t="shared" si="241"/>
        <v>899.1</v>
      </c>
      <c r="AG123" s="28" t="str">
        <f>"3x1.5L C"</f>
        <v>3x1.5L C</v>
      </c>
    </row>
    <row r="124" spans="1:33" x14ac:dyDescent="0.25">
      <c r="A124" s="10" t="e">
        <f>IF(#REF!=0,"Hide","Show")</f>
        <v>#REF!</v>
      </c>
      <c r="B124" s="32" t="str">
        <f t="shared" si="228"/>
        <v>Lucien Le Moine</v>
      </c>
      <c r="C124" s="33" t="str">
        <f>"Clos de Vougeot Grand Cru"</f>
        <v>Clos de Vougeot Grand Cru</v>
      </c>
      <c r="D124" s="34">
        <v>6</v>
      </c>
      <c r="E124" s="34">
        <v>750</v>
      </c>
      <c r="F124" s="34" t="str">
        <f>"2013"</f>
        <v>2013</v>
      </c>
      <c r="G124" s="34" t="str">
        <f t="shared" si="229"/>
        <v>Red</v>
      </c>
      <c r="H124" s="35" t="str">
        <f>"CLOS DE VOUGEOT"</f>
        <v>CLOS DE VOUGEOT</v>
      </c>
      <c r="I124" s="35" t="str">
        <f t="shared" si="230"/>
        <v>PINOT NOIR</v>
      </c>
      <c r="J124" s="13" t="s">
        <v>75</v>
      </c>
      <c r="K124" s="13" t="s">
        <v>34</v>
      </c>
      <c r="L124" s="13" t="s">
        <v>34</v>
      </c>
      <c r="M124" s="13" t="s">
        <v>34</v>
      </c>
      <c r="N124" s="9">
        <v>13</v>
      </c>
      <c r="O124" s="13" t="str">
        <f t="shared" si="237"/>
        <v/>
      </c>
      <c r="P124" s="13" t="str">
        <f t="shared" si="238"/>
        <v/>
      </c>
      <c r="Q124" s="36" t="str">
        <f t="shared" si="231"/>
        <v>NO UPC</v>
      </c>
      <c r="R124" s="36"/>
      <c r="S124" s="22">
        <v>0</v>
      </c>
      <c r="T124" s="22">
        <v>0</v>
      </c>
      <c r="U124" s="22">
        <v>3.33</v>
      </c>
      <c r="V124" s="22">
        <v>13</v>
      </c>
      <c r="W124" s="22">
        <v>10</v>
      </c>
      <c r="X124" s="22">
        <v>8</v>
      </c>
      <c r="Y124" s="13">
        <v>20</v>
      </c>
      <c r="Z124" s="22">
        <f t="shared" si="239"/>
        <v>0.60185185185185186</v>
      </c>
      <c r="AA124" s="13">
        <v>15</v>
      </c>
      <c r="AB124" s="13">
        <v>6</v>
      </c>
      <c r="AC124" s="13">
        <v>90</v>
      </c>
      <c r="AD124" s="13">
        <f t="shared" si="240"/>
        <v>48</v>
      </c>
      <c r="AE124" s="13">
        <f t="shared" si="241"/>
        <v>1800</v>
      </c>
      <c r="AG124" s="28" t="str">
        <f>"6x750ml C"</f>
        <v>6x750ml C</v>
      </c>
    </row>
    <row r="125" spans="1:33" x14ac:dyDescent="0.25">
      <c r="A125" s="10" t="e">
        <f>IF(#REF!=0,"Hide","Show")</f>
        <v>#REF!</v>
      </c>
      <c r="B125" s="32" t="str">
        <f t="shared" si="228"/>
        <v>Lucien Le Moine</v>
      </c>
      <c r="C125" s="33" t="str">
        <f>"Clos de Vougeot Grand Cru"</f>
        <v>Clos de Vougeot Grand Cru</v>
      </c>
      <c r="D125" s="34">
        <v>6</v>
      </c>
      <c r="E125" s="34">
        <v>750</v>
      </c>
      <c r="F125" s="34" t="str">
        <f>"2014"</f>
        <v>2014</v>
      </c>
      <c r="G125" s="34" t="str">
        <f t="shared" si="229"/>
        <v>Red</v>
      </c>
      <c r="H125" s="35" t="str">
        <f>"CLOS DE VOUGEOT"</f>
        <v>CLOS DE VOUGEOT</v>
      </c>
      <c r="I125" s="35" t="str">
        <f t="shared" si="230"/>
        <v>PINOT NOIR</v>
      </c>
      <c r="J125" s="13" t="s">
        <v>75</v>
      </c>
      <c r="K125" s="13" t="s">
        <v>34</v>
      </c>
      <c r="L125" s="13" t="s">
        <v>34</v>
      </c>
      <c r="M125" s="13" t="s">
        <v>34</v>
      </c>
      <c r="N125" s="9">
        <v>13.5</v>
      </c>
      <c r="O125" s="13" t="str">
        <f t="shared" si="237"/>
        <v/>
      </c>
      <c r="P125" s="13" t="str">
        <f t="shared" si="238"/>
        <v/>
      </c>
      <c r="Q125" s="36" t="str">
        <f t="shared" si="231"/>
        <v>NO UPC</v>
      </c>
      <c r="R125" s="36"/>
      <c r="S125" s="22">
        <v>0</v>
      </c>
      <c r="T125" s="22">
        <v>0</v>
      </c>
      <c r="U125" s="22">
        <v>3.33</v>
      </c>
      <c r="V125" s="22">
        <v>13</v>
      </c>
      <c r="W125" s="22">
        <v>10</v>
      </c>
      <c r="X125" s="22">
        <v>8</v>
      </c>
      <c r="Y125" s="13">
        <v>20</v>
      </c>
      <c r="Z125" s="22">
        <f t="shared" si="239"/>
        <v>0.60185185185185186</v>
      </c>
      <c r="AA125" s="13">
        <v>15</v>
      </c>
      <c r="AB125" s="13">
        <v>6</v>
      </c>
      <c r="AC125" s="13">
        <v>90</v>
      </c>
      <c r="AD125" s="13">
        <f t="shared" si="240"/>
        <v>48</v>
      </c>
      <c r="AE125" s="13">
        <f t="shared" si="241"/>
        <v>1800</v>
      </c>
      <c r="AG125" s="28" t="str">
        <f>"6x750ml C"</f>
        <v>6x750ml C</v>
      </c>
    </row>
    <row r="126" spans="1:33" x14ac:dyDescent="0.25">
      <c r="A126" s="10" t="e">
        <f>IF(#REF!=0,"Hide","Show")</f>
        <v>#REF!</v>
      </c>
      <c r="B126" s="32" t="s">
        <v>71</v>
      </c>
      <c r="C126" s="33" t="s">
        <v>120</v>
      </c>
      <c r="D126" s="34">
        <v>6</v>
      </c>
      <c r="E126" s="34">
        <v>750</v>
      </c>
      <c r="F126" s="34" t="s">
        <v>87</v>
      </c>
      <c r="G126" s="34" t="s">
        <v>77</v>
      </c>
      <c r="H126" s="35" t="s">
        <v>121</v>
      </c>
      <c r="I126" s="35" t="s">
        <v>76</v>
      </c>
      <c r="J126" s="13" t="s">
        <v>75</v>
      </c>
      <c r="K126" s="13" t="s">
        <v>34</v>
      </c>
      <c r="L126" s="13" t="s">
        <v>34</v>
      </c>
      <c r="M126" s="13" t="s">
        <v>34</v>
      </c>
      <c r="N126" s="9">
        <v>13.5</v>
      </c>
      <c r="O126" s="13" t="str">
        <f t="shared" si="218"/>
        <v/>
      </c>
      <c r="P126" s="13" t="str">
        <f t="shared" si="219"/>
        <v/>
      </c>
      <c r="Q126" s="36" t="s">
        <v>91</v>
      </c>
      <c r="R126" s="36" t="s">
        <v>22</v>
      </c>
      <c r="S126" s="22">
        <v>0</v>
      </c>
      <c r="T126" s="22">
        <v>0</v>
      </c>
      <c r="U126" s="22">
        <v>3.33</v>
      </c>
      <c r="V126" s="22">
        <v>13</v>
      </c>
      <c r="W126" s="22">
        <v>10</v>
      </c>
      <c r="X126" s="22">
        <v>8</v>
      </c>
      <c r="Y126" s="13">
        <v>20</v>
      </c>
      <c r="Z126" s="22">
        <f t="shared" si="220"/>
        <v>0.60185185185185186</v>
      </c>
      <c r="AA126" s="13">
        <v>15</v>
      </c>
      <c r="AB126" s="13">
        <v>6</v>
      </c>
      <c r="AC126" s="13">
        <v>90</v>
      </c>
      <c r="AD126" s="13">
        <f t="shared" si="221"/>
        <v>48</v>
      </c>
      <c r="AE126" s="13">
        <f t="shared" si="222"/>
        <v>1800</v>
      </c>
      <c r="AG126" s="28" t="s">
        <v>73</v>
      </c>
    </row>
    <row r="127" spans="1:33" x14ac:dyDescent="0.25">
      <c r="A127" s="10" t="e">
        <f>IF(#REF!=0,"Hide","Show")</f>
        <v>#REF!</v>
      </c>
      <c r="B127" s="32" t="str">
        <f t="shared" ref="B127:B134" si="242">"Lucien Le Moine"</f>
        <v>Lucien Le Moine</v>
      </c>
      <c r="C127" s="33" t="str">
        <f>"Mazis Chambertin Grand Cru"</f>
        <v>Mazis Chambertin Grand Cru</v>
      </c>
      <c r="D127" s="34">
        <v>6</v>
      </c>
      <c r="E127" s="34">
        <v>750</v>
      </c>
      <c r="F127" s="34" t="str">
        <f>"2011"</f>
        <v>2011</v>
      </c>
      <c r="G127" s="34" t="str">
        <f t="shared" ref="G127:G134" si="243">"Red"</f>
        <v>Red</v>
      </c>
      <c r="H127" s="35" t="str">
        <f>"MAZIS CHAMBERTIN"</f>
        <v>MAZIS CHAMBERTIN</v>
      </c>
      <c r="I127" s="35" t="str">
        <f t="shared" ref="I127:I134" si="244">"PINOT NOIR"</f>
        <v>PINOT NOIR</v>
      </c>
      <c r="J127" s="13" t="s">
        <v>75</v>
      </c>
      <c r="K127" s="13" t="s">
        <v>34</v>
      </c>
      <c r="L127" s="13" t="s">
        <v>34</v>
      </c>
      <c r="M127" s="13" t="s">
        <v>34</v>
      </c>
      <c r="N127" s="9">
        <v>13.5</v>
      </c>
      <c r="O127" s="13" t="str">
        <f t="shared" si="218"/>
        <v/>
      </c>
      <c r="P127" s="13" t="str">
        <f t="shared" si="219"/>
        <v/>
      </c>
      <c r="Q127" s="36" t="str">
        <f t="shared" ref="Q127:Q134" si="245">"NO UPC"</f>
        <v>NO UPC</v>
      </c>
      <c r="R127" s="36"/>
      <c r="S127" s="22">
        <v>0</v>
      </c>
      <c r="T127" s="22">
        <v>0</v>
      </c>
      <c r="U127" s="22">
        <v>3.33</v>
      </c>
      <c r="V127" s="22">
        <v>13</v>
      </c>
      <c r="W127" s="22">
        <v>10</v>
      </c>
      <c r="X127" s="22">
        <v>8</v>
      </c>
      <c r="Y127" s="13">
        <v>20</v>
      </c>
      <c r="Z127" s="22">
        <f t="shared" si="220"/>
        <v>0.60185185185185186</v>
      </c>
      <c r="AA127" s="13">
        <v>15</v>
      </c>
      <c r="AB127" s="13">
        <v>6</v>
      </c>
      <c r="AC127" s="13">
        <v>90</v>
      </c>
      <c r="AD127" s="13">
        <f t="shared" si="221"/>
        <v>48</v>
      </c>
      <c r="AE127" s="13">
        <f t="shared" si="222"/>
        <v>1800</v>
      </c>
      <c r="AG127" s="28" t="str">
        <f t="shared" ref="AG127:AG132" si="246">"6x750ml C"</f>
        <v>6x750ml C</v>
      </c>
    </row>
    <row r="128" spans="1:33" x14ac:dyDescent="0.25">
      <c r="A128" s="10" t="e">
        <f>IF(#REF!=0,"Hide","Show")</f>
        <v>#REF!</v>
      </c>
      <c r="B128" s="32" t="str">
        <f t="shared" si="242"/>
        <v>Lucien Le Moine</v>
      </c>
      <c r="C128" s="33" t="str">
        <f>"Mazis Chambertin Grand Cru"</f>
        <v>Mazis Chambertin Grand Cru</v>
      </c>
      <c r="D128" s="34">
        <v>6</v>
      </c>
      <c r="E128" s="34">
        <v>750</v>
      </c>
      <c r="F128" s="34" t="str">
        <f>"2013"</f>
        <v>2013</v>
      </c>
      <c r="G128" s="34" t="str">
        <f t="shared" si="243"/>
        <v>Red</v>
      </c>
      <c r="H128" s="35" t="str">
        <f>"MAZIS CHAMBERTIN"</f>
        <v>MAZIS CHAMBERTIN</v>
      </c>
      <c r="I128" s="35" t="str">
        <f t="shared" si="244"/>
        <v>PINOT NOIR</v>
      </c>
      <c r="J128" s="13" t="s">
        <v>75</v>
      </c>
      <c r="K128" s="13" t="s">
        <v>34</v>
      </c>
      <c r="L128" s="13" t="s">
        <v>34</v>
      </c>
      <c r="M128" s="13" t="s">
        <v>34</v>
      </c>
      <c r="N128" s="9">
        <v>13.5</v>
      </c>
      <c r="O128" s="13" t="str">
        <f t="shared" ref="O128:O129" si="247">IF(LEN(Q128)=12,"UPC",IF(LEN(Q128)&gt;12,"EAN",""))</f>
        <v/>
      </c>
      <c r="P128" s="13" t="str">
        <f t="shared" ref="P128:P129" si="248">IF(ISNUMBER(SEARCH("Gift",AG128)),"Gift Box","")</f>
        <v/>
      </c>
      <c r="Q128" s="36" t="str">
        <f t="shared" si="245"/>
        <v>NO UPC</v>
      </c>
      <c r="R128" s="36"/>
      <c r="S128" s="22">
        <v>0</v>
      </c>
      <c r="T128" s="22">
        <v>0</v>
      </c>
      <c r="U128" s="22">
        <v>3.33</v>
      </c>
      <c r="V128" s="22">
        <v>13</v>
      </c>
      <c r="W128" s="22">
        <v>10</v>
      </c>
      <c r="X128" s="22">
        <v>8</v>
      </c>
      <c r="Y128" s="13">
        <v>20</v>
      </c>
      <c r="Z128" s="22">
        <f t="shared" ref="Z128:Z129" si="249">IF(V128&gt;0,(V128*W128*X128)/1728,"")</f>
        <v>0.60185185185185186</v>
      </c>
      <c r="AA128" s="13">
        <v>15</v>
      </c>
      <c r="AB128" s="13">
        <v>6</v>
      </c>
      <c r="AC128" s="13">
        <v>90</v>
      </c>
      <c r="AD128" s="13">
        <f t="shared" ref="AD128:AD129" si="250">IF(AB128&gt;0,AB128*X128,"")</f>
        <v>48</v>
      </c>
      <c r="AE128" s="13">
        <f t="shared" ref="AE128:AE129" si="251">IF(Y128&gt;0,Y128*(AA128*AB128),"")</f>
        <v>1800</v>
      </c>
      <c r="AG128" s="28" t="str">
        <f t="shared" si="246"/>
        <v>6x750ml C</v>
      </c>
    </row>
    <row r="129" spans="1:33" x14ac:dyDescent="0.25">
      <c r="A129" s="10" t="e">
        <f>IF(#REF!=0,"Hide","Show")</f>
        <v>#REF!</v>
      </c>
      <c r="B129" s="32" t="str">
        <f t="shared" si="242"/>
        <v>Lucien Le Moine</v>
      </c>
      <c r="C129" s="33" t="str">
        <f>"Mazis Chambertin Grand Cru"</f>
        <v>Mazis Chambertin Grand Cru</v>
      </c>
      <c r="D129" s="34">
        <v>6</v>
      </c>
      <c r="E129" s="34">
        <v>750</v>
      </c>
      <c r="F129" s="34" t="str">
        <f>"2014"</f>
        <v>2014</v>
      </c>
      <c r="G129" s="34" t="str">
        <f t="shared" si="243"/>
        <v>Red</v>
      </c>
      <c r="H129" s="35" t="str">
        <f>"MAZIS CHAMBERTIN"</f>
        <v>MAZIS CHAMBERTIN</v>
      </c>
      <c r="I129" s="35" t="str">
        <f t="shared" si="244"/>
        <v>PINOT NOIR</v>
      </c>
      <c r="J129" s="13" t="s">
        <v>75</v>
      </c>
      <c r="K129" s="13" t="s">
        <v>34</v>
      </c>
      <c r="L129" s="13" t="s">
        <v>34</v>
      </c>
      <c r="M129" s="13" t="s">
        <v>34</v>
      </c>
      <c r="N129" s="9">
        <v>13.5</v>
      </c>
      <c r="O129" s="13" t="str">
        <f t="shared" si="247"/>
        <v/>
      </c>
      <c r="P129" s="13" t="str">
        <f t="shared" si="248"/>
        <v/>
      </c>
      <c r="Q129" s="36" t="str">
        <f t="shared" si="245"/>
        <v>NO UPC</v>
      </c>
      <c r="R129" s="36"/>
      <c r="S129" s="22">
        <v>0</v>
      </c>
      <c r="T129" s="22">
        <v>0</v>
      </c>
      <c r="U129" s="22">
        <v>3.33</v>
      </c>
      <c r="V129" s="22">
        <v>13</v>
      </c>
      <c r="W129" s="22">
        <v>10</v>
      </c>
      <c r="X129" s="22">
        <v>8</v>
      </c>
      <c r="Y129" s="13">
        <v>20</v>
      </c>
      <c r="Z129" s="22">
        <f t="shared" si="249"/>
        <v>0.60185185185185186</v>
      </c>
      <c r="AA129" s="13">
        <v>15</v>
      </c>
      <c r="AB129" s="13">
        <v>6</v>
      </c>
      <c r="AC129" s="13">
        <v>90</v>
      </c>
      <c r="AD129" s="13">
        <f t="shared" si="250"/>
        <v>48</v>
      </c>
      <c r="AE129" s="13">
        <f t="shared" si="251"/>
        <v>1800</v>
      </c>
      <c r="AG129" s="28" t="str">
        <f t="shared" si="246"/>
        <v>6x750ml C</v>
      </c>
    </row>
    <row r="130" spans="1:33" x14ac:dyDescent="0.25">
      <c r="A130" s="10" t="e">
        <f>IF(#REF!=0,"Hide","Show")</f>
        <v>#REF!</v>
      </c>
      <c r="B130" s="32" t="str">
        <f t="shared" si="242"/>
        <v>Lucien Le Moine</v>
      </c>
      <c r="C130" s="33" t="str">
        <f>"Charmes-Chambertin Grand Cru"</f>
        <v>Charmes-Chambertin Grand Cru</v>
      </c>
      <c r="D130" s="34">
        <v>6</v>
      </c>
      <c r="E130" s="34">
        <v>750</v>
      </c>
      <c r="F130" s="34" t="str">
        <f>"2011"</f>
        <v>2011</v>
      </c>
      <c r="G130" s="34" t="str">
        <f t="shared" si="243"/>
        <v>Red</v>
      </c>
      <c r="H130" s="35" t="str">
        <f>"CHARMES-CHAMBERTIN"</f>
        <v>CHARMES-CHAMBERTIN</v>
      </c>
      <c r="I130" s="35" t="str">
        <f t="shared" si="244"/>
        <v>PINOT NOIR</v>
      </c>
      <c r="J130" s="13" t="s">
        <v>75</v>
      </c>
      <c r="K130" s="13" t="s">
        <v>34</v>
      </c>
      <c r="L130" s="13" t="s">
        <v>34</v>
      </c>
      <c r="M130" s="13" t="s">
        <v>34</v>
      </c>
      <c r="N130" s="9">
        <v>13.5</v>
      </c>
      <c r="O130" s="13" t="str">
        <f t="shared" si="218"/>
        <v/>
      </c>
      <c r="P130" s="13" t="str">
        <f t="shared" si="219"/>
        <v/>
      </c>
      <c r="Q130" s="36" t="str">
        <f t="shared" si="245"/>
        <v>NO UPC</v>
      </c>
      <c r="R130" s="36"/>
      <c r="S130" s="22">
        <v>0</v>
      </c>
      <c r="T130" s="22">
        <v>0</v>
      </c>
      <c r="U130" s="22">
        <v>3.33</v>
      </c>
      <c r="V130" s="22">
        <v>13</v>
      </c>
      <c r="W130" s="22">
        <v>10</v>
      </c>
      <c r="X130" s="22">
        <v>8</v>
      </c>
      <c r="Y130" s="13">
        <v>20</v>
      </c>
      <c r="Z130" s="22">
        <f t="shared" si="220"/>
        <v>0.60185185185185186</v>
      </c>
      <c r="AA130" s="13">
        <v>15</v>
      </c>
      <c r="AB130" s="13">
        <v>6</v>
      </c>
      <c r="AC130" s="13">
        <v>90</v>
      </c>
      <c r="AD130" s="13">
        <f t="shared" si="221"/>
        <v>48</v>
      </c>
      <c r="AE130" s="13">
        <f t="shared" si="222"/>
        <v>1800</v>
      </c>
      <c r="AG130" s="28" t="str">
        <f t="shared" si="246"/>
        <v>6x750ml C</v>
      </c>
    </row>
    <row r="131" spans="1:33" x14ac:dyDescent="0.25">
      <c r="A131" s="10" t="e">
        <f>IF(#REF!=0,"Hide","Show")</f>
        <v>#REF!</v>
      </c>
      <c r="B131" s="32" t="str">
        <f t="shared" si="242"/>
        <v>Lucien Le Moine</v>
      </c>
      <c r="C131" s="33" t="str">
        <f>"Charmes-Chambertin Grand Cru"</f>
        <v>Charmes-Chambertin Grand Cru</v>
      </c>
      <c r="D131" s="34">
        <v>6</v>
      </c>
      <c r="E131" s="34">
        <v>750</v>
      </c>
      <c r="F131" s="34" t="str">
        <f>"2012"</f>
        <v>2012</v>
      </c>
      <c r="G131" s="34" t="str">
        <f t="shared" si="243"/>
        <v>Red</v>
      </c>
      <c r="H131" s="35" t="str">
        <f>"CHARMES-CHAMBERTIN"</f>
        <v>CHARMES-CHAMBERTIN</v>
      </c>
      <c r="I131" s="35" t="str">
        <f t="shared" si="244"/>
        <v>PINOT NOIR</v>
      </c>
      <c r="J131" s="13" t="s">
        <v>75</v>
      </c>
      <c r="K131" s="13" t="s">
        <v>34</v>
      </c>
      <c r="L131" s="13" t="s">
        <v>34</v>
      </c>
      <c r="M131" s="13" t="s">
        <v>34</v>
      </c>
      <c r="N131" s="9">
        <v>13.5</v>
      </c>
      <c r="O131" s="13" t="str">
        <f t="shared" ref="O131:O134" si="252">IF(LEN(Q131)=12,"UPC",IF(LEN(Q131)&gt;12,"EAN",""))</f>
        <v/>
      </c>
      <c r="P131" s="13" t="str">
        <f t="shared" ref="P131:P134" si="253">IF(ISNUMBER(SEARCH("Gift",AG131)),"Gift Box","")</f>
        <v/>
      </c>
      <c r="Q131" s="36" t="str">
        <f t="shared" si="245"/>
        <v>NO UPC</v>
      </c>
      <c r="R131" s="36"/>
      <c r="S131" s="22">
        <v>0</v>
      </c>
      <c r="T131" s="22">
        <v>0</v>
      </c>
      <c r="U131" s="22">
        <v>3.33</v>
      </c>
      <c r="V131" s="22">
        <v>13</v>
      </c>
      <c r="W131" s="22">
        <v>10</v>
      </c>
      <c r="X131" s="22">
        <v>8</v>
      </c>
      <c r="Y131" s="13">
        <v>20</v>
      </c>
      <c r="Z131" s="22">
        <f t="shared" ref="Z131:Z134" si="254">IF(V131&gt;0,(V131*W131*X131)/1728,"")</f>
        <v>0.60185185185185186</v>
      </c>
      <c r="AA131" s="13">
        <v>15</v>
      </c>
      <c r="AB131" s="13">
        <v>6</v>
      </c>
      <c r="AC131" s="13">
        <v>90</v>
      </c>
      <c r="AD131" s="13">
        <f t="shared" ref="AD131:AD134" si="255">IF(AB131&gt;0,AB131*X131,"")</f>
        <v>48</v>
      </c>
      <c r="AE131" s="13">
        <f t="shared" ref="AE131:AE134" si="256">IF(Y131&gt;0,Y131*(AA131*AB131),"")</f>
        <v>1800</v>
      </c>
      <c r="AG131" s="28" t="str">
        <f t="shared" si="246"/>
        <v>6x750ml C</v>
      </c>
    </row>
    <row r="132" spans="1:33" x14ac:dyDescent="0.25">
      <c r="A132" s="10" t="e">
        <f>IF(#REF!=0,"Hide","Show")</f>
        <v>#REF!</v>
      </c>
      <c r="B132" s="32" t="str">
        <f t="shared" si="242"/>
        <v>Lucien Le Moine</v>
      </c>
      <c r="C132" s="33" t="str">
        <f>"Charmes-Chambertin Grand Cru"</f>
        <v>Charmes-Chambertin Grand Cru</v>
      </c>
      <c r="D132" s="34">
        <v>6</v>
      </c>
      <c r="E132" s="34">
        <v>750</v>
      </c>
      <c r="F132" s="34" t="str">
        <f>"2013"</f>
        <v>2013</v>
      </c>
      <c r="G132" s="34" t="str">
        <f t="shared" si="243"/>
        <v>Red</v>
      </c>
      <c r="H132" s="35" t="str">
        <f>"CHARMES-CHAMBERTIN"</f>
        <v>CHARMES-CHAMBERTIN</v>
      </c>
      <c r="I132" s="35" t="str">
        <f t="shared" si="244"/>
        <v>PINOT NOIR</v>
      </c>
      <c r="J132" s="13" t="s">
        <v>75</v>
      </c>
      <c r="K132" s="13" t="s">
        <v>34</v>
      </c>
      <c r="L132" s="13" t="s">
        <v>34</v>
      </c>
      <c r="M132" s="13" t="s">
        <v>34</v>
      </c>
      <c r="N132" s="9">
        <v>13</v>
      </c>
      <c r="O132" s="13" t="str">
        <f t="shared" si="252"/>
        <v/>
      </c>
      <c r="P132" s="13" t="str">
        <f t="shared" si="253"/>
        <v/>
      </c>
      <c r="Q132" s="36" t="str">
        <f t="shared" si="245"/>
        <v>NO UPC</v>
      </c>
      <c r="R132" s="36"/>
      <c r="S132" s="22">
        <v>0</v>
      </c>
      <c r="T132" s="22">
        <v>0</v>
      </c>
      <c r="U132" s="22">
        <v>3.33</v>
      </c>
      <c r="V132" s="22">
        <v>13</v>
      </c>
      <c r="W132" s="22">
        <v>10</v>
      </c>
      <c r="X132" s="22">
        <v>8</v>
      </c>
      <c r="Y132" s="13">
        <v>20</v>
      </c>
      <c r="Z132" s="22">
        <f t="shared" si="254"/>
        <v>0.60185185185185186</v>
      </c>
      <c r="AA132" s="13">
        <v>15</v>
      </c>
      <c r="AB132" s="13">
        <v>6</v>
      </c>
      <c r="AC132" s="13">
        <v>90</v>
      </c>
      <c r="AD132" s="13">
        <f t="shared" si="255"/>
        <v>48</v>
      </c>
      <c r="AE132" s="13">
        <f t="shared" si="256"/>
        <v>1800</v>
      </c>
      <c r="AG132" s="28" t="str">
        <f t="shared" si="246"/>
        <v>6x750ml C</v>
      </c>
    </row>
    <row r="133" spans="1:33" x14ac:dyDescent="0.25">
      <c r="A133" s="10" t="e">
        <f>IF(#REF!=0,"Hide","Show")</f>
        <v>#REF!</v>
      </c>
      <c r="B133" s="32" t="str">
        <f t="shared" si="242"/>
        <v>Lucien Le Moine</v>
      </c>
      <c r="C133" s="33" t="str">
        <f>"Charmes-Chambertin Grand Cru"</f>
        <v>Charmes-Chambertin Grand Cru</v>
      </c>
      <c r="D133" s="34">
        <v>3</v>
      </c>
      <c r="E133" s="34">
        <v>1500</v>
      </c>
      <c r="F133" s="34" t="str">
        <f>"2013"</f>
        <v>2013</v>
      </c>
      <c r="G133" s="34" t="str">
        <f t="shared" si="243"/>
        <v>Red</v>
      </c>
      <c r="H133" s="35" t="str">
        <f>"CHARMES-CHAMBERTIN"</f>
        <v>CHARMES-CHAMBERTIN</v>
      </c>
      <c r="I133" s="35" t="str">
        <f t="shared" si="244"/>
        <v>PINOT NOIR</v>
      </c>
      <c r="J133" s="13" t="s">
        <v>75</v>
      </c>
      <c r="K133" s="13" t="s">
        <v>34</v>
      </c>
      <c r="L133" s="13" t="s">
        <v>34</v>
      </c>
      <c r="M133" s="13" t="s">
        <v>34</v>
      </c>
      <c r="N133" s="9">
        <v>13</v>
      </c>
      <c r="O133" s="13" t="str">
        <f t="shared" si="252"/>
        <v/>
      </c>
      <c r="P133" s="13" t="str">
        <f t="shared" si="253"/>
        <v/>
      </c>
      <c r="Q133" s="36" t="str">
        <f t="shared" si="245"/>
        <v>NO UPC</v>
      </c>
      <c r="R133" s="36"/>
      <c r="S133" s="22">
        <v>0</v>
      </c>
      <c r="T133" s="22">
        <v>0</v>
      </c>
      <c r="U133" s="22">
        <v>3.33</v>
      </c>
      <c r="V133" s="22">
        <v>13</v>
      </c>
      <c r="W133" s="22">
        <v>10</v>
      </c>
      <c r="X133" s="22">
        <v>8</v>
      </c>
      <c r="Y133" s="13">
        <v>9.99</v>
      </c>
      <c r="Z133" s="22">
        <f t="shared" si="254"/>
        <v>0.60185185185185186</v>
      </c>
      <c r="AA133" s="13">
        <v>15</v>
      </c>
      <c r="AB133" s="13">
        <v>6</v>
      </c>
      <c r="AC133" s="13">
        <v>90</v>
      </c>
      <c r="AD133" s="13">
        <f t="shared" si="255"/>
        <v>48</v>
      </c>
      <c r="AE133" s="13">
        <f t="shared" si="256"/>
        <v>899.1</v>
      </c>
      <c r="AG133" s="28" t="str">
        <f>"3x1.5L C"</f>
        <v>3x1.5L C</v>
      </c>
    </row>
    <row r="134" spans="1:33" x14ac:dyDescent="0.25">
      <c r="A134" s="10" t="e">
        <f>IF(#REF!=0,"Hide","Show")</f>
        <v>#REF!</v>
      </c>
      <c r="B134" s="32" t="str">
        <f t="shared" si="242"/>
        <v>Lucien Le Moine</v>
      </c>
      <c r="C134" s="33" t="str">
        <f>"Charmes-Chambertin Grand Cru"</f>
        <v>Charmes-Chambertin Grand Cru</v>
      </c>
      <c r="D134" s="34">
        <v>6</v>
      </c>
      <c r="E134" s="34">
        <v>750</v>
      </c>
      <c r="F134" s="34" t="str">
        <f>"2014"</f>
        <v>2014</v>
      </c>
      <c r="G134" s="34" t="str">
        <f t="shared" si="243"/>
        <v>Red</v>
      </c>
      <c r="H134" s="35" t="str">
        <f>"CHARMES-CHAMBERTIN"</f>
        <v>CHARMES-CHAMBERTIN</v>
      </c>
      <c r="I134" s="35" t="str">
        <f t="shared" si="244"/>
        <v>PINOT NOIR</v>
      </c>
      <c r="J134" s="13" t="s">
        <v>75</v>
      </c>
      <c r="K134" s="13" t="s">
        <v>34</v>
      </c>
      <c r="L134" s="13" t="s">
        <v>34</v>
      </c>
      <c r="M134" s="13" t="s">
        <v>34</v>
      </c>
      <c r="N134" s="9">
        <v>13</v>
      </c>
      <c r="O134" s="13" t="str">
        <f t="shared" si="252"/>
        <v/>
      </c>
      <c r="P134" s="13" t="str">
        <f t="shared" si="253"/>
        <v/>
      </c>
      <c r="Q134" s="36" t="str">
        <f t="shared" si="245"/>
        <v>NO UPC</v>
      </c>
      <c r="R134" s="36"/>
      <c r="S134" s="22">
        <v>0</v>
      </c>
      <c r="T134" s="22">
        <v>0</v>
      </c>
      <c r="U134" s="22">
        <v>3.33</v>
      </c>
      <c r="V134" s="22">
        <v>13</v>
      </c>
      <c r="W134" s="22">
        <v>10</v>
      </c>
      <c r="X134" s="22">
        <v>8</v>
      </c>
      <c r="Y134" s="13">
        <v>20</v>
      </c>
      <c r="Z134" s="22">
        <f t="shared" si="254"/>
        <v>0.60185185185185186</v>
      </c>
      <c r="AA134" s="13">
        <v>15</v>
      </c>
      <c r="AB134" s="13">
        <v>6</v>
      </c>
      <c r="AC134" s="13">
        <v>90</v>
      </c>
      <c r="AD134" s="13">
        <f t="shared" si="255"/>
        <v>48</v>
      </c>
      <c r="AE134" s="13">
        <f t="shared" si="256"/>
        <v>1800</v>
      </c>
      <c r="AG134" s="28" t="str">
        <f>"6x750ml C"</f>
        <v>6x750ml C</v>
      </c>
    </row>
    <row r="135" spans="1:33" x14ac:dyDescent="0.25">
      <c r="A135" s="10" t="e">
        <f>IF(#REF!=0,"Hide","Show")</f>
        <v>#REF!</v>
      </c>
      <c r="B135" s="32" t="s">
        <v>71</v>
      </c>
      <c r="C135" s="33" t="s">
        <v>118</v>
      </c>
      <c r="D135" s="34">
        <v>6</v>
      </c>
      <c r="E135" s="34">
        <v>750</v>
      </c>
      <c r="F135" s="34" t="s">
        <v>87</v>
      </c>
      <c r="G135" s="34" t="s">
        <v>77</v>
      </c>
      <c r="H135" s="35" t="s">
        <v>119</v>
      </c>
      <c r="I135" s="35" t="s">
        <v>76</v>
      </c>
      <c r="J135" s="13" t="s">
        <v>75</v>
      </c>
      <c r="K135" s="13" t="s">
        <v>34</v>
      </c>
      <c r="L135" s="13" t="s">
        <v>34</v>
      </c>
      <c r="M135" s="13" t="s">
        <v>34</v>
      </c>
      <c r="N135" s="9">
        <v>13</v>
      </c>
      <c r="O135" s="13" t="str">
        <f t="shared" si="218"/>
        <v/>
      </c>
      <c r="P135" s="13" t="str">
        <f t="shared" si="219"/>
        <v/>
      </c>
      <c r="Q135" s="36" t="s">
        <v>91</v>
      </c>
      <c r="R135" s="36" t="s">
        <v>22</v>
      </c>
      <c r="S135" s="22">
        <v>0</v>
      </c>
      <c r="T135" s="22">
        <v>0</v>
      </c>
      <c r="U135" s="22">
        <v>3.33</v>
      </c>
      <c r="V135" s="22">
        <v>13</v>
      </c>
      <c r="W135" s="22">
        <v>10</v>
      </c>
      <c r="X135" s="22">
        <v>8</v>
      </c>
      <c r="Y135" s="13">
        <v>20</v>
      </c>
      <c r="Z135" s="22">
        <f t="shared" si="220"/>
        <v>0.60185185185185186</v>
      </c>
      <c r="AA135" s="13">
        <v>15</v>
      </c>
      <c r="AB135" s="13">
        <v>6</v>
      </c>
      <c r="AC135" s="13">
        <v>90</v>
      </c>
      <c r="AD135" s="13">
        <f t="shared" si="221"/>
        <v>48</v>
      </c>
      <c r="AE135" s="13">
        <f t="shared" si="222"/>
        <v>1800</v>
      </c>
      <c r="AG135" s="28" t="s">
        <v>73</v>
      </c>
    </row>
    <row r="136" spans="1:33" x14ac:dyDescent="0.25">
      <c r="A136" s="10" t="e">
        <f>IF(#REF!=0,"Hide","Show")</f>
        <v>#REF!</v>
      </c>
      <c r="B136" s="32" t="s">
        <v>71</v>
      </c>
      <c r="C136" s="33" t="s">
        <v>118</v>
      </c>
      <c r="D136" s="34">
        <v>6</v>
      </c>
      <c r="E136" s="34">
        <v>750</v>
      </c>
      <c r="F136" s="34" t="s">
        <v>93</v>
      </c>
      <c r="G136" s="34" t="s">
        <v>77</v>
      </c>
      <c r="H136" s="35" t="s">
        <v>119</v>
      </c>
      <c r="I136" s="35" t="s">
        <v>76</v>
      </c>
      <c r="J136" s="13" t="s">
        <v>75</v>
      </c>
      <c r="K136" s="13" t="s">
        <v>34</v>
      </c>
      <c r="L136" s="13" t="s">
        <v>34</v>
      </c>
      <c r="M136" s="13" t="s">
        <v>34</v>
      </c>
      <c r="N136" s="9">
        <v>13</v>
      </c>
      <c r="O136" s="13" t="str">
        <f t="shared" ref="O136" si="257">IF(LEN(Q136)=12,"UPC",IF(LEN(Q136)&gt;12,"EAN",""))</f>
        <v/>
      </c>
      <c r="P136" s="13" t="str">
        <f t="shared" ref="P136" si="258">IF(ISNUMBER(SEARCH("Gift",AG136)),"Gift Box","")</f>
        <v/>
      </c>
      <c r="Q136" s="36" t="s">
        <v>91</v>
      </c>
      <c r="R136" s="36" t="s">
        <v>22</v>
      </c>
      <c r="S136" s="22">
        <v>0</v>
      </c>
      <c r="T136" s="22">
        <v>0</v>
      </c>
      <c r="U136" s="22">
        <v>3.33</v>
      </c>
      <c r="V136" s="22">
        <v>13</v>
      </c>
      <c r="W136" s="22">
        <v>10</v>
      </c>
      <c r="X136" s="22">
        <v>8</v>
      </c>
      <c r="Y136" s="13">
        <v>20</v>
      </c>
      <c r="Z136" s="22">
        <f t="shared" ref="Z136" si="259">IF(V136&gt;0,(V136*W136*X136)/1728,"")</f>
        <v>0.60185185185185186</v>
      </c>
      <c r="AA136" s="13">
        <v>15</v>
      </c>
      <c r="AB136" s="13">
        <v>6</v>
      </c>
      <c r="AC136" s="13">
        <v>90</v>
      </c>
      <c r="AD136" s="13">
        <f t="shared" ref="AD136" si="260">IF(AB136&gt;0,AB136*X136,"")</f>
        <v>48</v>
      </c>
      <c r="AE136" s="13">
        <f t="shared" ref="AE136" si="261">IF(Y136&gt;0,Y136*(AA136*AB136),"")</f>
        <v>1800</v>
      </c>
      <c r="AG136" s="28" t="s">
        <v>73</v>
      </c>
    </row>
    <row r="137" spans="1:33" x14ac:dyDescent="0.25">
      <c r="A137" s="10" t="e">
        <f>IF(#REF!=0,"Hide","Show")</f>
        <v>#REF!</v>
      </c>
      <c r="B137" s="32" t="str">
        <f>"Lucien Le Moine"</f>
        <v>Lucien Le Moine</v>
      </c>
      <c r="C137" s="33" t="str">
        <f>"Griotte-Chambertin Grand Cru"</f>
        <v>Griotte-Chambertin Grand Cru</v>
      </c>
      <c r="D137" s="34">
        <v>6</v>
      </c>
      <c r="E137" s="34">
        <v>750</v>
      </c>
      <c r="F137" s="34" t="str">
        <f>"2011"</f>
        <v>2011</v>
      </c>
      <c r="G137" s="34" t="str">
        <f>"Red"</f>
        <v>Red</v>
      </c>
      <c r="H137" s="35" t="str">
        <f>"GRIOTTE-CHAMBERTIN"</f>
        <v>GRIOTTE-CHAMBERTIN</v>
      </c>
      <c r="I137" s="35" t="str">
        <f>"PINOT NOIR"</f>
        <v>PINOT NOIR</v>
      </c>
      <c r="J137" s="13" t="s">
        <v>75</v>
      </c>
      <c r="K137" s="13" t="s">
        <v>34</v>
      </c>
      <c r="L137" s="13" t="s">
        <v>34</v>
      </c>
      <c r="M137" s="13" t="s">
        <v>34</v>
      </c>
      <c r="N137" s="9">
        <v>13.5</v>
      </c>
      <c r="O137" s="13" t="str">
        <f t="shared" si="218"/>
        <v/>
      </c>
      <c r="P137" s="13" t="str">
        <f t="shared" si="219"/>
        <v/>
      </c>
      <c r="Q137" s="36" t="str">
        <f>"NO UPC"</f>
        <v>NO UPC</v>
      </c>
      <c r="R137" s="36"/>
      <c r="S137" s="22">
        <v>0</v>
      </c>
      <c r="T137" s="22">
        <v>0</v>
      </c>
      <c r="U137" s="22">
        <v>3.33</v>
      </c>
      <c r="V137" s="22">
        <v>13</v>
      </c>
      <c r="W137" s="22">
        <v>10</v>
      </c>
      <c r="X137" s="22">
        <v>8</v>
      </c>
      <c r="Y137" s="13">
        <v>20</v>
      </c>
      <c r="Z137" s="22">
        <f t="shared" si="220"/>
        <v>0.60185185185185186</v>
      </c>
      <c r="AA137" s="13">
        <v>15</v>
      </c>
      <c r="AB137" s="13">
        <v>6</v>
      </c>
      <c r="AC137" s="13">
        <v>90</v>
      </c>
      <c r="AD137" s="13">
        <f t="shared" si="221"/>
        <v>48</v>
      </c>
      <c r="AE137" s="13">
        <f t="shared" si="222"/>
        <v>1800</v>
      </c>
      <c r="AG137" s="28" t="str">
        <f>"6x750ml C"</f>
        <v>6x750ml C</v>
      </c>
    </row>
    <row r="138" spans="1:33" x14ac:dyDescent="0.25">
      <c r="A138" s="10" t="e">
        <f>IF(#REF!=0,"Hide","Show")</f>
        <v>#REF!</v>
      </c>
      <c r="B138" s="32" t="str">
        <f>"Lucien Le Moine"</f>
        <v>Lucien Le Moine</v>
      </c>
      <c r="C138" s="33" t="str">
        <f>"Griotte-Chambertin Grand Cru"</f>
        <v>Griotte-Chambertin Grand Cru</v>
      </c>
      <c r="D138" s="34">
        <v>6</v>
      </c>
      <c r="E138" s="34">
        <v>750</v>
      </c>
      <c r="F138" s="34" t="str">
        <f>"2012"</f>
        <v>2012</v>
      </c>
      <c r="G138" s="34" t="str">
        <f>"Red"</f>
        <v>Red</v>
      </c>
      <c r="H138" s="35" t="str">
        <f>"GRIOTTE-CHAMBERTIN"</f>
        <v>GRIOTTE-CHAMBERTIN</v>
      </c>
      <c r="I138" s="35" t="str">
        <f>"PINOT NOIR"</f>
        <v>PINOT NOIR</v>
      </c>
      <c r="J138" s="13" t="s">
        <v>75</v>
      </c>
      <c r="K138" s="13" t="s">
        <v>34</v>
      </c>
      <c r="L138" s="13" t="s">
        <v>34</v>
      </c>
      <c r="M138" s="13" t="s">
        <v>34</v>
      </c>
      <c r="N138" s="9">
        <v>13.5</v>
      </c>
      <c r="O138" s="13" t="str">
        <f t="shared" ref="O138:O140" si="262">IF(LEN(Q138)=12,"UPC",IF(LEN(Q138)&gt;12,"EAN",""))</f>
        <v/>
      </c>
      <c r="P138" s="13" t="str">
        <f t="shared" ref="P138:P140" si="263">IF(ISNUMBER(SEARCH("Gift",AG138)),"Gift Box","")</f>
        <v/>
      </c>
      <c r="Q138" s="36" t="str">
        <f>"NO UPC"</f>
        <v>NO UPC</v>
      </c>
      <c r="R138" s="36"/>
      <c r="S138" s="22">
        <v>0</v>
      </c>
      <c r="T138" s="22">
        <v>0</v>
      </c>
      <c r="U138" s="22">
        <v>3.33</v>
      </c>
      <c r="V138" s="22">
        <v>13</v>
      </c>
      <c r="W138" s="22">
        <v>10</v>
      </c>
      <c r="X138" s="22">
        <v>8</v>
      </c>
      <c r="Y138" s="13">
        <v>20</v>
      </c>
      <c r="Z138" s="22">
        <f t="shared" ref="Z138:Z140" si="264">IF(V138&gt;0,(V138*W138*X138)/1728,"")</f>
        <v>0.60185185185185186</v>
      </c>
      <c r="AA138" s="13">
        <v>15</v>
      </c>
      <c r="AB138" s="13">
        <v>6</v>
      </c>
      <c r="AC138" s="13">
        <v>90</v>
      </c>
      <c r="AD138" s="13">
        <f t="shared" ref="AD138:AD140" si="265">IF(AB138&gt;0,AB138*X138,"")</f>
        <v>48</v>
      </c>
      <c r="AE138" s="13">
        <f t="shared" ref="AE138:AE140" si="266">IF(Y138&gt;0,Y138*(AA138*AB138),"")</f>
        <v>1800</v>
      </c>
      <c r="AG138" s="28" t="str">
        <f>"6x750ml C"</f>
        <v>6x750ml C</v>
      </c>
    </row>
    <row r="139" spans="1:33" x14ac:dyDescent="0.25">
      <c r="A139" s="10" t="e">
        <f>IF(#REF!=0,"Hide","Show")</f>
        <v>#REF!</v>
      </c>
      <c r="B139" s="32" t="str">
        <f>"Lucien Le Moine"</f>
        <v>Lucien Le Moine</v>
      </c>
      <c r="C139" s="33" t="str">
        <f>"Griotte-Chambertin Grand Cru"</f>
        <v>Griotte-Chambertin Grand Cru</v>
      </c>
      <c r="D139" s="34">
        <v>6</v>
      </c>
      <c r="E139" s="34">
        <v>750</v>
      </c>
      <c r="F139" s="34" t="str">
        <f>"2013"</f>
        <v>2013</v>
      </c>
      <c r="G139" s="34" t="str">
        <f>"Red"</f>
        <v>Red</v>
      </c>
      <c r="H139" s="35" t="str">
        <f>"GRIOTTE-CHAMBERTIN"</f>
        <v>GRIOTTE-CHAMBERTIN</v>
      </c>
      <c r="I139" s="35" t="str">
        <f>"PINOT NOIR"</f>
        <v>PINOT NOIR</v>
      </c>
      <c r="J139" s="13" t="s">
        <v>75</v>
      </c>
      <c r="K139" s="13" t="s">
        <v>34</v>
      </c>
      <c r="L139" s="13" t="s">
        <v>34</v>
      </c>
      <c r="M139" s="13" t="s">
        <v>34</v>
      </c>
      <c r="N139" s="9">
        <v>13.5</v>
      </c>
      <c r="O139" s="13" t="str">
        <f t="shared" si="262"/>
        <v/>
      </c>
      <c r="P139" s="13" t="str">
        <f t="shared" si="263"/>
        <v/>
      </c>
      <c r="Q139" s="36" t="str">
        <f>"NO UPC"</f>
        <v>NO UPC</v>
      </c>
      <c r="R139" s="36"/>
      <c r="S139" s="22">
        <v>0</v>
      </c>
      <c r="T139" s="22">
        <v>0</v>
      </c>
      <c r="U139" s="22">
        <v>3.33</v>
      </c>
      <c r="V139" s="22">
        <v>13</v>
      </c>
      <c r="W139" s="22">
        <v>10</v>
      </c>
      <c r="X139" s="22">
        <v>8</v>
      </c>
      <c r="Y139" s="13">
        <v>20</v>
      </c>
      <c r="Z139" s="22">
        <f t="shared" si="264"/>
        <v>0.60185185185185186</v>
      </c>
      <c r="AA139" s="13">
        <v>15</v>
      </c>
      <c r="AB139" s="13">
        <v>6</v>
      </c>
      <c r="AC139" s="13">
        <v>90</v>
      </c>
      <c r="AD139" s="13">
        <f t="shared" si="265"/>
        <v>48</v>
      </c>
      <c r="AE139" s="13">
        <f t="shared" si="266"/>
        <v>1800</v>
      </c>
      <c r="AG139" s="28" t="str">
        <f>"6x750ml C"</f>
        <v>6x750ml C</v>
      </c>
    </row>
    <row r="140" spans="1:33" x14ac:dyDescent="0.25">
      <c r="A140" s="10" t="e">
        <f>IF(#REF!=0,"Hide","Show")</f>
        <v>#REF!</v>
      </c>
      <c r="B140" s="32" t="str">
        <f>"Lucien Le Moine"</f>
        <v>Lucien Le Moine</v>
      </c>
      <c r="C140" s="33" t="str">
        <f>"Griotte-Chambertin Grand Cru"</f>
        <v>Griotte-Chambertin Grand Cru</v>
      </c>
      <c r="D140" s="34">
        <v>6</v>
      </c>
      <c r="E140" s="34">
        <v>750</v>
      </c>
      <c r="F140" s="34" t="str">
        <f>"2014"</f>
        <v>2014</v>
      </c>
      <c r="G140" s="34" t="str">
        <f>"Red"</f>
        <v>Red</v>
      </c>
      <c r="H140" s="35" t="str">
        <f>"GRIOTTE-CHAMBERTIN"</f>
        <v>GRIOTTE-CHAMBERTIN</v>
      </c>
      <c r="I140" s="35" t="str">
        <f>"PINOT NOIR"</f>
        <v>PINOT NOIR</v>
      </c>
      <c r="J140" s="13" t="s">
        <v>75</v>
      </c>
      <c r="K140" s="13" t="s">
        <v>34</v>
      </c>
      <c r="L140" s="13" t="s">
        <v>34</v>
      </c>
      <c r="M140" s="13" t="s">
        <v>34</v>
      </c>
      <c r="N140" s="9">
        <v>13</v>
      </c>
      <c r="O140" s="13" t="str">
        <f t="shared" si="262"/>
        <v/>
      </c>
      <c r="P140" s="13" t="str">
        <f t="shared" si="263"/>
        <v/>
      </c>
      <c r="Q140" s="36" t="str">
        <f>"NO UPC"</f>
        <v>NO UPC</v>
      </c>
      <c r="R140" s="36"/>
      <c r="S140" s="22">
        <v>0</v>
      </c>
      <c r="T140" s="22">
        <v>0</v>
      </c>
      <c r="U140" s="22">
        <v>3.33</v>
      </c>
      <c r="V140" s="22">
        <v>13</v>
      </c>
      <c r="W140" s="22">
        <v>10</v>
      </c>
      <c r="X140" s="22">
        <v>8</v>
      </c>
      <c r="Y140" s="13">
        <v>20</v>
      </c>
      <c r="Z140" s="22">
        <f t="shared" si="264"/>
        <v>0.60185185185185186</v>
      </c>
      <c r="AA140" s="13">
        <v>15</v>
      </c>
      <c r="AB140" s="13">
        <v>6</v>
      </c>
      <c r="AC140" s="13">
        <v>90</v>
      </c>
      <c r="AD140" s="13">
        <f t="shared" si="265"/>
        <v>48</v>
      </c>
      <c r="AE140" s="13">
        <f t="shared" si="266"/>
        <v>1800</v>
      </c>
      <c r="AG140" s="28" t="str">
        <f>"6x750ml C"</f>
        <v>6x750ml C</v>
      </c>
    </row>
    <row r="141" spans="1:33" x14ac:dyDescent="0.25">
      <c r="A141" s="10" t="e">
        <f>IF(#REF!=0,"Hide","Show")</f>
        <v>#REF!</v>
      </c>
      <c r="B141" s="32" t="s">
        <v>71</v>
      </c>
      <c r="C141" s="33" t="s">
        <v>113</v>
      </c>
      <c r="D141" s="34">
        <v>6</v>
      </c>
      <c r="E141" s="34">
        <v>750</v>
      </c>
      <c r="F141" s="34" t="s">
        <v>115</v>
      </c>
      <c r="G141" s="34" t="s">
        <v>77</v>
      </c>
      <c r="H141" s="35" t="s">
        <v>116</v>
      </c>
      <c r="I141" s="35" t="s">
        <v>76</v>
      </c>
      <c r="J141" s="13" t="s">
        <v>75</v>
      </c>
      <c r="K141" s="13" t="s">
        <v>34</v>
      </c>
      <c r="L141" s="13" t="s">
        <v>34</v>
      </c>
      <c r="M141" s="13" t="s">
        <v>34</v>
      </c>
      <c r="N141" s="9">
        <v>13</v>
      </c>
      <c r="O141" s="13" t="str">
        <f t="shared" si="218"/>
        <v/>
      </c>
      <c r="P141" s="13" t="str">
        <f t="shared" si="219"/>
        <v/>
      </c>
      <c r="Q141" s="36" t="s">
        <v>22</v>
      </c>
      <c r="R141" s="36" t="s">
        <v>22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13">
        <v>0</v>
      </c>
      <c r="Z141" s="22" t="str">
        <f t="shared" si="220"/>
        <v/>
      </c>
      <c r="AA141" s="13">
        <v>15</v>
      </c>
      <c r="AB141" s="13">
        <v>6</v>
      </c>
      <c r="AC141" s="13">
        <v>0</v>
      </c>
      <c r="AD141" s="13">
        <f t="shared" si="221"/>
        <v>0</v>
      </c>
      <c r="AE141" s="13" t="str">
        <f t="shared" si="222"/>
        <v/>
      </c>
      <c r="AG141" s="28" t="s">
        <v>73</v>
      </c>
    </row>
    <row r="142" spans="1:33" x14ac:dyDescent="0.25">
      <c r="A142" s="10" t="e">
        <f>IF(#REF!=0,"Hide","Show")</f>
        <v>#REF!</v>
      </c>
      <c r="B142" s="32" t="s">
        <v>71</v>
      </c>
      <c r="C142" s="33" t="s">
        <v>114</v>
      </c>
      <c r="D142" s="34">
        <v>6</v>
      </c>
      <c r="E142" s="34">
        <v>750</v>
      </c>
      <c r="F142" s="34" t="s">
        <v>87</v>
      </c>
      <c r="G142" s="34" t="s">
        <v>77</v>
      </c>
      <c r="H142" s="35" t="s">
        <v>117</v>
      </c>
      <c r="I142" s="35" t="s">
        <v>76</v>
      </c>
      <c r="J142" s="13" t="s">
        <v>75</v>
      </c>
      <c r="K142" s="13" t="s">
        <v>34</v>
      </c>
      <c r="L142" s="13" t="s">
        <v>34</v>
      </c>
      <c r="M142" s="13" t="s">
        <v>34</v>
      </c>
      <c r="N142" s="9">
        <v>13.5</v>
      </c>
      <c r="O142" s="13" t="str">
        <f t="shared" si="218"/>
        <v/>
      </c>
      <c r="P142" s="13" t="str">
        <f t="shared" si="219"/>
        <v/>
      </c>
      <c r="Q142" s="36" t="s">
        <v>91</v>
      </c>
      <c r="R142" s="36" t="s">
        <v>22</v>
      </c>
      <c r="S142" s="22">
        <v>0</v>
      </c>
      <c r="T142" s="22">
        <v>0</v>
      </c>
      <c r="U142" s="22">
        <v>3.33</v>
      </c>
      <c r="V142" s="22">
        <v>13</v>
      </c>
      <c r="W142" s="22">
        <v>10</v>
      </c>
      <c r="X142" s="22">
        <v>8</v>
      </c>
      <c r="Y142" s="13">
        <v>20</v>
      </c>
      <c r="Z142" s="22">
        <f t="shared" si="220"/>
        <v>0.60185185185185186</v>
      </c>
      <c r="AA142" s="13">
        <v>15</v>
      </c>
      <c r="AB142" s="13">
        <v>6</v>
      </c>
      <c r="AC142" s="13">
        <v>90</v>
      </c>
      <c r="AD142" s="13">
        <f t="shared" si="221"/>
        <v>48</v>
      </c>
      <c r="AE142" s="13">
        <f t="shared" si="222"/>
        <v>1800</v>
      </c>
      <c r="AG142" s="28" t="s">
        <v>73</v>
      </c>
    </row>
    <row r="143" spans="1:33" x14ac:dyDescent="0.25">
      <c r="A143" s="10" t="e">
        <f>IF(#REF!=0,"Hide","Show")</f>
        <v>#REF!</v>
      </c>
      <c r="B143" s="32" t="s">
        <v>71</v>
      </c>
      <c r="C143" s="33" t="s">
        <v>114</v>
      </c>
      <c r="D143" s="34">
        <v>6</v>
      </c>
      <c r="E143" s="34">
        <v>750</v>
      </c>
      <c r="F143" s="34" t="s">
        <v>93</v>
      </c>
      <c r="G143" s="34" t="s">
        <v>77</v>
      </c>
      <c r="H143" s="35" t="s">
        <v>117</v>
      </c>
      <c r="I143" s="35" t="s">
        <v>76</v>
      </c>
      <c r="J143" s="13" t="s">
        <v>75</v>
      </c>
      <c r="K143" s="13" t="s">
        <v>34</v>
      </c>
      <c r="L143" s="13" t="s">
        <v>34</v>
      </c>
      <c r="M143" s="13" t="s">
        <v>34</v>
      </c>
      <c r="N143" s="9">
        <v>13.5</v>
      </c>
      <c r="O143" s="13" t="str">
        <f t="shared" ref="O143" si="267">IF(LEN(Q143)=12,"UPC",IF(LEN(Q143)&gt;12,"EAN",""))</f>
        <v/>
      </c>
      <c r="P143" s="13" t="str">
        <f t="shared" ref="P143" si="268">IF(ISNUMBER(SEARCH("Gift",AG143)),"Gift Box","")</f>
        <v/>
      </c>
      <c r="Q143" s="36" t="s">
        <v>91</v>
      </c>
      <c r="R143" s="36" t="s">
        <v>22</v>
      </c>
      <c r="S143" s="22">
        <v>0</v>
      </c>
      <c r="T143" s="22">
        <v>0</v>
      </c>
      <c r="U143" s="22">
        <v>3.33</v>
      </c>
      <c r="V143" s="22">
        <v>13</v>
      </c>
      <c r="W143" s="22">
        <v>10</v>
      </c>
      <c r="X143" s="22">
        <v>8</v>
      </c>
      <c r="Y143" s="13">
        <v>20</v>
      </c>
      <c r="Z143" s="22">
        <f t="shared" ref="Z143" si="269">IF(V143&gt;0,(V143*W143*X143)/1728,"")</f>
        <v>0.60185185185185186</v>
      </c>
      <c r="AA143" s="13">
        <v>15</v>
      </c>
      <c r="AB143" s="13">
        <v>6</v>
      </c>
      <c r="AC143" s="13">
        <v>90</v>
      </c>
      <c r="AD143" s="13">
        <f t="shared" ref="AD143" si="270">IF(AB143&gt;0,AB143*X143,"")</f>
        <v>48</v>
      </c>
      <c r="AE143" s="13">
        <f t="shared" ref="AE143" si="271">IF(Y143&gt;0,Y143*(AA143*AB143),"")</f>
        <v>1800</v>
      </c>
      <c r="AG143" s="28" t="s">
        <v>73</v>
      </c>
    </row>
    <row r="144" spans="1:33" x14ac:dyDescent="0.25">
      <c r="A144" s="10" t="e">
        <f>IF(#REF!=0,"Hide","Show")</f>
        <v>#REF!</v>
      </c>
      <c r="B144" s="32" t="str">
        <f>"Lucien Le Moine"</f>
        <v>Lucien Le Moine</v>
      </c>
      <c r="C144" s="33" t="str">
        <f>"Clos Saint Denis Grand Cru"</f>
        <v>Clos Saint Denis Grand Cru</v>
      </c>
      <c r="D144" s="34">
        <v>6</v>
      </c>
      <c r="E144" s="34">
        <v>750</v>
      </c>
      <c r="F144" s="34" t="str">
        <f>"2011"</f>
        <v>2011</v>
      </c>
      <c r="G144" s="34" t="str">
        <f>"Red"</f>
        <v>Red</v>
      </c>
      <c r="H144" s="35" t="str">
        <f>"CLOS SAINT DENIS"</f>
        <v>CLOS SAINT DENIS</v>
      </c>
      <c r="I144" s="35" t="str">
        <f>"PINOT NOIR"</f>
        <v>PINOT NOIR</v>
      </c>
      <c r="J144" s="13" t="s">
        <v>75</v>
      </c>
      <c r="K144" s="13" t="s">
        <v>34</v>
      </c>
      <c r="L144" s="13" t="s">
        <v>34</v>
      </c>
      <c r="M144" s="13" t="s">
        <v>34</v>
      </c>
      <c r="N144" s="9">
        <v>13.5</v>
      </c>
      <c r="O144" s="13" t="str">
        <f t="shared" si="218"/>
        <v/>
      </c>
      <c r="P144" s="13" t="str">
        <f t="shared" si="219"/>
        <v/>
      </c>
      <c r="Q144" s="36" t="str">
        <f>"NO UPC"</f>
        <v>NO UPC</v>
      </c>
      <c r="R144" s="36"/>
      <c r="S144" s="22">
        <v>0</v>
      </c>
      <c r="T144" s="22">
        <v>0</v>
      </c>
      <c r="U144" s="22">
        <v>3.33</v>
      </c>
      <c r="V144" s="22">
        <v>13</v>
      </c>
      <c r="W144" s="22">
        <v>10</v>
      </c>
      <c r="X144" s="22">
        <v>8</v>
      </c>
      <c r="Y144" s="13">
        <v>20</v>
      </c>
      <c r="Z144" s="22">
        <f t="shared" si="220"/>
        <v>0.60185185185185186</v>
      </c>
      <c r="AA144" s="13">
        <v>15</v>
      </c>
      <c r="AB144" s="13">
        <v>6</v>
      </c>
      <c r="AC144" s="13">
        <v>90</v>
      </c>
      <c r="AD144" s="13">
        <f t="shared" si="221"/>
        <v>48</v>
      </c>
      <c r="AE144" s="13">
        <f t="shared" si="222"/>
        <v>1800</v>
      </c>
      <c r="AG144" s="28" t="str">
        <f>"6x750ml C"</f>
        <v>6x750ml C</v>
      </c>
    </row>
    <row r="145" spans="1:33" x14ac:dyDescent="0.25">
      <c r="A145" s="10" t="e">
        <f>IF(#REF!=0,"Hide","Show")</f>
        <v>#REF!</v>
      </c>
      <c r="B145" s="32" t="str">
        <f>"Lucien Le Moine"</f>
        <v>Lucien Le Moine</v>
      </c>
      <c r="C145" s="33" t="str">
        <f>"Clos Saint Denis Grand Cru"</f>
        <v>Clos Saint Denis Grand Cru</v>
      </c>
      <c r="D145" s="34">
        <v>6</v>
      </c>
      <c r="E145" s="34">
        <v>750</v>
      </c>
      <c r="F145" s="34" t="str">
        <f>"2013"</f>
        <v>2013</v>
      </c>
      <c r="G145" s="34" t="str">
        <f>"Red"</f>
        <v>Red</v>
      </c>
      <c r="H145" s="35" t="str">
        <f>"CLOS SAINT DENIS"</f>
        <v>CLOS SAINT DENIS</v>
      </c>
      <c r="I145" s="35" t="str">
        <f>"PINOT NOIR"</f>
        <v>PINOT NOIR</v>
      </c>
      <c r="J145" s="13" t="s">
        <v>75</v>
      </c>
      <c r="K145" s="13" t="s">
        <v>34</v>
      </c>
      <c r="L145" s="13" t="s">
        <v>34</v>
      </c>
      <c r="M145" s="13" t="s">
        <v>34</v>
      </c>
      <c r="N145" s="9">
        <v>13</v>
      </c>
      <c r="O145" s="13" t="str">
        <f t="shared" ref="O145:O146" si="272">IF(LEN(Q145)=12,"UPC",IF(LEN(Q145)&gt;12,"EAN",""))</f>
        <v/>
      </c>
      <c r="P145" s="13" t="str">
        <f t="shared" ref="P145:P146" si="273">IF(ISNUMBER(SEARCH("Gift",AG145)),"Gift Box","")</f>
        <v/>
      </c>
      <c r="Q145" s="36" t="str">
        <f>"NO UPC"</f>
        <v>NO UPC</v>
      </c>
      <c r="R145" s="36"/>
      <c r="S145" s="22">
        <v>0</v>
      </c>
      <c r="T145" s="22">
        <v>0</v>
      </c>
      <c r="U145" s="22">
        <v>3.33</v>
      </c>
      <c r="V145" s="22">
        <v>13</v>
      </c>
      <c r="W145" s="22">
        <v>10</v>
      </c>
      <c r="X145" s="22">
        <v>8</v>
      </c>
      <c r="Y145" s="13">
        <v>20</v>
      </c>
      <c r="Z145" s="22">
        <f t="shared" ref="Z145:Z146" si="274">IF(V145&gt;0,(V145*W145*X145)/1728,"")</f>
        <v>0.60185185185185186</v>
      </c>
      <c r="AA145" s="13">
        <v>15</v>
      </c>
      <c r="AB145" s="13">
        <v>6</v>
      </c>
      <c r="AC145" s="13">
        <v>90</v>
      </c>
      <c r="AD145" s="13">
        <f t="shared" ref="AD145:AD146" si="275">IF(AB145&gt;0,AB145*X145,"")</f>
        <v>48</v>
      </c>
      <c r="AE145" s="13">
        <f t="shared" ref="AE145:AE146" si="276">IF(Y145&gt;0,Y145*(AA145*AB145),"")</f>
        <v>1800</v>
      </c>
      <c r="AG145" s="28" t="str">
        <f>"6x750ml C"</f>
        <v>6x750ml C</v>
      </c>
    </row>
    <row r="146" spans="1:33" x14ac:dyDescent="0.25">
      <c r="A146" s="10" t="e">
        <f>IF(#REF!=0,"Hide","Show")</f>
        <v>#REF!</v>
      </c>
      <c r="B146" s="32" t="str">
        <f>"Lucien Le Moine"</f>
        <v>Lucien Le Moine</v>
      </c>
      <c r="C146" s="33" t="str">
        <f>"Clos Saint Denis Grand Cru"</f>
        <v>Clos Saint Denis Grand Cru</v>
      </c>
      <c r="D146" s="34">
        <v>6</v>
      </c>
      <c r="E146" s="34">
        <v>750</v>
      </c>
      <c r="F146" s="34" t="str">
        <f>"2014"</f>
        <v>2014</v>
      </c>
      <c r="G146" s="34" t="str">
        <f>"Red"</f>
        <v>Red</v>
      </c>
      <c r="H146" s="35" t="str">
        <f>"CLOS SAINT DENIS"</f>
        <v>CLOS SAINT DENIS</v>
      </c>
      <c r="I146" s="35" t="str">
        <f>"PINOT NOIR"</f>
        <v>PINOT NOIR</v>
      </c>
      <c r="J146" s="13" t="s">
        <v>75</v>
      </c>
      <c r="K146" s="13" t="s">
        <v>34</v>
      </c>
      <c r="L146" s="13" t="s">
        <v>34</v>
      </c>
      <c r="M146" s="13" t="s">
        <v>34</v>
      </c>
      <c r="N146" s="9">
        <v>13.5</v>
      </c>
      <c r="O146" s="13" t="str">
        <f t="shared" si="272"/>
        <v/>
      </c>
      <c r="P146" s="13" t="str">
        <f t="shared" si="273"/>
        <v/>
      </c>
      <c r="Q146" s="36" t="str">
        <f>"NO UPC"</f>
        <v>NO UPC</v>
      </c>
      <c r="R146" s="36"/>
      <c r="S146" s="22">
        <v>0</v>
      </c>
      <c r="T146" s="22">
        <v>0</v>
      </c>
      <c r="U146" s="22">
        <v>3.33</v>
      </c>
      <c r="V146" s="22">
        <v>13</v>
      </c>
      <c r="W146" s="22">
        <v>10</v>
      </c>
      <c r="X146" s="22">
        <v>8</v>
      </c>
      <c r="Y146" s="13">
        <v>20</v>
      </c>
      <c r="Z146" s="22">
        <f t="shared" si="274"/>
        <v>0.60185185185185186</v>
      </c>
      <c r="AA146" s="13">
        <v>15</v>
      </c>
      <c r="AB146" s="13">
        <v>6</v>
      </c>
      <c r="AC146" s="13">
        <v>90</v>
      </c>
      <c r="AD146" s="13">
        <f t="shared" si="275"/>
        <v>48</v>
      </c>
      <c r="AE146" s="13">
        <f t="shared" si="276"/>
        <v>1800</v>
      </c>
      <c r="AG146" s="28" t="str">
        <f>"6x750ml C"</f>
        <v>6x750ml C</v>
      </c>
    </row>
    <row r="147" spans="1:33" ht="6" customHeight="1" x14ac:dyDescent="0.25">
      <c r="B147" s="15"/>
      <c r="C147" s="12"/>
      <c r="D147" s="12"/>
      <c r="E147" s="12"/>
      <c r="F147" s="19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24"/>
      <c r="T147" s="24"/>
      <c r="U147" s="24"/>
      <c r="V147" s="24"/>
      <c r="W147" s="24"/>
      <c r="X147" s="24"/>
      <c r="Y147" s="12"/>
      <c r="Z147" s="12"/>
      <c r="AA147" s="12"/>
      <c r="AB147" s="12"/>
      <c r="AC147" s="12"/>
      <c r="AD147" s="12"/>
      <c r="AE147" s="12"/>
      <c r="AG147" s="27"/>
    </row>
    <row r="148" spans="1:33" x14ac:dyDescent="0.25">
      <c r="B148" s="21" t="str">
        <f>"NUITS RED PREMIER CRU"</f>
        <v>NUITS RED PREMIER CRU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23"/>
      <c r="T148" s="23"/>
      <c r="U148" s="23"/>
      <c r="V148" s="23"/>
      <c r="W148" s="23"/>
      <c r="X148" s="23"/>
      <c r="Y148" s="11"/>
      <c r="Z148" s="11"/>
      <c r="AA148" s="11"/>
      <c r="AB148" s="11"/>
      <c r="AC148" s="11"/>
      <c r="AD148" s="11"/>
      <c r="AE148" s="11"/>
      <c r="AG148" s="28"/>
    </row>
    <row r="149" spans="1:33" x14ac:dyDescent="0.25">
      <c r="A149" s="10" t="e">
        <f>IF(#REF!=0,"Hide","Show")</f>
        <v>#REF!</v>
      </c>
      <c r="B149" s="32" t="s">
        <v>71</v>
      </c>
      <c r="C149" s="33" t="s">
        <v>112</v>
      </c>
      <c r="D149" s="34">
        <v>6</v>
      </c>
      <c r="E149" s="34">
        <v>750</v>
      </c>
      <c r="F149" s="34" t="s">
        <v>93</v>
      </c>
      <c r="G149" s="34" t="s">
        <v>77</v>
      </c>
      <c r="H149" s="35" t="s">
        <v>109</v>
      </c>
      <c r="I149" s="35" t="s">
        <v>76</v>
      </c>
      <c r="J149" s="13" t="s">
        <v>75</v>
      </c>
      <c r="K149" s="13" t="s">
        <v>34</v>
      </c>
      <c r="L149" s="13" t="s">
        <v>34</v>
      </c>
      <c r="M149" s="13" t="s">
        <v>34</v>
      </c>
      <c r="N149" s="9">
        <v>13.5</v>
      </c>
      <c r="O149" s="13" t="str">
        <f t="shared" ref="O149" si="277">IF(LEN(Q149)=12,"UPC",IF(LEN(Q149)&gt;12,"EAN",""))</f>
        <v/>
      </c>
      <c r="P149" s="13" t="str">
        <f t="shared" ref="P149" si="278">IF(ISNUMBER(SEARCH("Gift",AG149)),"Gift Box","")</f>
        <v/>
      </c>
      <c r="Q149" s="36" t="s">
        <v>91</v>
      </c>
      <c r="R149" s="36" t="s">
        <v>22</v>
      </c>
      <c r="S149" s="22">
        <v>0</v>
      </c>
      <c r="T149" s="22">
        <v>0</v>
      </c>
      <c r="U149" s="22">
        <v>3.33</v>
      </c>
      <c r="V149" s="22">
        <v>13</v>
      </c>
      <c r="W149" s="22">
        <v>10</v>
      </c>
      <c r="X149" s="22">
        <v>8</v>
      </c>
      <c r="Y149" s="13">
        <v>20</v>
      </c>
      <c r="Z149" s="22">
        <f t="shared" ref="Z149" si="279">IF(V149&gt;0,(V149*W149*X149)/1728,"")</f>
        <v>0.60185185185185186</v>
      </c>
      <c r="AA149" s="13">
        <v>15</v>
      </c>
      <c r="AB149" s="13">
        <v>6</v>
      </c>
      <c r="AC149" s="13">
        <v>90</v>
      </c>
      <c r="AD149" s="13">
        <f t="shared" ref="AD149" si="280">IF(AB149&gt;0,AB149*X149,"")</f>
        <v>48</v>
      </c>
      <c r="AE149" s="13">
        <f t="shared" ref="AE149" si="281">IF(Y149&gt;0,Y149*(AA149*AB149),"")</f>
        <v>1800</v>
      </c>
      <c r="AG149" s="28" t="s">
        <v>73</v>
      </c>
    </row>
    <row r="150" spans="1:33" x14ac:dyDescent="0.25">
      <c r="A150" s="10" t="e">
        <f>IF(#REF!=0,"Hide","Show")</f>
        <v>#REF!</v>
      </c>
      <c r="B150" s="32" t="str">
        <f>"Lucien Le Moine"</f>
        <v>Lucien Le Moine</v>
      </c>
      <c r="C150" s="33" t="str">
        <f>"Chambolle-Musigny 1er Cru Les Hauts Doix"</f>
        <v>Chambolle-Musigny 1er Cru Les Hauts Doix</v>
      </c>
      <c r="D150" s="34">
        <v>6</v>
      </c>
      <c r="E150" s="34">
        <v>750</v>
      </c>
      <c r="F150" s="34" t="str">
        <f>"2011"</f>
        <v>2011</v>
      </c>
      <c r="G150" s="34" t="str">
        <f>"Red"</f>
        <v>Red</v>
      </c>
      <c r="H150" s="35" t="str">
        <f>"CHAMBOLLE-MUSIGNY"</f>
        <v>CHAMBOLLE-MUSIGNY</v>
      </c>
      <c r="I150" s="35" t="str">
        <f>"PINOT NOIR"</f>
        <v>PINOT NOIR</v>
      </c>
      <c r="J150" s="13" t="s">
        <v>75</v>
      </c>
      <c r="K150" s="13" t="s">
        <v>34</v>
      </c>
      <c r="L150" s="13" t="s">
        <v>34</v>
      </c>
      <c r="M150" s="13" t="s">
        <v>34</v>
      </c>
      <c r="N150" s="9">
        <v>13</v>
      </c>
      <c r="O150" s="13" t="str">
        <f t="shared" ref="O150:O179" si="282">IF(LEN(Q150)=12,"UPC",IF(LEN(Q150)&gt;12,"EAN",""))</f>
        <v/>
      </c>
      <c r="P150" s="13" t="str">
        <f t="shared" ref="P150:P179" si="283">IF(ISNUMBER(SEARCH("Gift",AG150)),"Gift Box","")</f>
        <v/>
      </c>
      <c r="Q150" s="36" t="str">
        <f>"NO UPC"</f>
        <v>NO UPC</v>
      </c>
      <c r="R150" s="36"/>
      <c r="S150" s="22">
        <v>0</v>
      </c>
      <c r="T150" s="22">
        <v>0</v>
      </c>
      <c r="U150" s="22">
        <v>3.33</v>
      </c>
      <c r="V150" s="22">
        <v>13</v>
      </c>
      <c r="W150" s="22">
        <v>10</v>
      </c>
      <c r="X150" s="22">
        <v>8</v>
      </c>
      <c r="Y150" s="13">
        <v>20</v>
      </c>
      <c r="Z150" s="22">
        <f t="shared" ref="Z150:Z179" si="284">IF(V150&gt;0,(V150*W150*X150)/1728,"")</f>
        <v>0.60185185185185186</v>
      </c>
      <c r="AA150" s="13">
        <v>15</v>
      </c>
      <c r="AB150" s="13">
        <v>6</v>
      </c>
      <c r="AC150" s="13">
        <v>90</v>
      </c>
      <c r="AD150" s="13">
        <f t="shared" ref="AD150:AD179" si="285">IF(AB150&gt;0,AB150*X150,"")</f>
        <v>48</v>
      </c>
      <c r="AE150" s="13">
        <f t="shared" ref="AE150:AE179" si="286">IF(Y150&gt;0,Y150*(AA150*AB150),"")</f>
        <v>1800</v>
      </c>
      <c r="AG150" s="28" t="str">
        <f>"6x750ml C"</f>
        <v>6x750ml C</v>
      </c>
    </row>
    <row r="151" spans="1:33" x14ac:dyDescent="0.25">
      <c r="A151" s="10" t="e">
        <f>IF(#REF!=0,"Hide","Show")</f>
        <v>#REF!</v>
      </c>
      <c r="B151" s="32" t="str">
        <f>"Lucien Le Moine"</f>
        <v>Lucien Le Moine</v>
      </c>
      <c r="C151" s="33" t="str">
        <f>"Chambolle-Musigny 1er Cru Les Hauts Doix"</f>
        <v>Chambolle-Musigny 1er Cru Les Hauts Doix</v>
      </c>
      <c r="D151" s="34">
        <v>6</v>
      </c>
      <c r="E151" s="34">
        <v>750</v>
      </c>
      <c r="F151" s="34" t="str">
        <f>"2013"</f>
        <v>2013</v>
      </c>
      <c r="G151" s="34" t="str">
        <f>"Red"</f>
        <v>Red</v>
      </c>
      <c r="H151" s="35" t="str">
        <f>"CHAMBOLLE-MUSIGNY"</f>
        <v>CHAMBOLLE-MUSIGNY</v>
      </c>
      <c r="I151" s="35" t="str">
        <f>"PINOT NOIR"</f>
        <v>PINOT NOIR</v>
      </c>
      <c r="J151" s="13" t="s">
        <v>75</v>
      </c>
      <c r="K151" s="13" t="s">
        <v>34</v>
      </c>
      <c r="L151" s="13" t="s">
        <v>34</v>
      </c>
      <c r="M151" s="13" t="s">
        <v>34</v>
      </c>
      <c r="N151" s="9">
        <v>13.5</v>
      </c>
      <c r="O151" s="13" t="str">
        <f t="shared" ref="O151:O152" si="287">IF(LEN(Q151)=12,"UPC",IF(LEN(Q151)&gt;12,"EAN",""))</f>
        <v/>
      </c>
      <c r="P151" s="13" t="str">
        <f t="shared" ref="P151:P152" si="288">IF(ISNUMBER(SEARCH("Gift",AG151)),"Gift Box","")</f>
        <v/>
      </c>
      <c r="Q151" s="36" t="str">
        <f>"NO UPC"</f>
        <v>NO UPC</v>
      </c>
      <c r="R151" s="36"/>
      <c r="S151" s="22">
        <v>0</v>
      </c>
      <c r="T151" s="22">
        <v>0</v>
      </c>
      <c r="U151" s="22">
        <v>3.33</v>
      </c>
      <c r="V151" s="22">
        <v>13</v>
      </c>
      <c r="W151" s="22">
        <v>10</v>
      </c>
      <c r="X151" s="22">
        <v>8</v>
      </c>
      <c r="Y151" s="13">
        <v>20</v>
      </c>
      <c r="Z151" s="22">
        <f t="shared" ref="Z151:Z152" si="289">IF(V151&gt;0,(V151*W151*X151)/1728,"")</f>
        <v>0.60185185185185186</v>
      </c>
      <c r="AA151" s="13">
        <v>15</v>
      </c>
      <c r="AB151" s="13">
        <v>6</v>
      </c>
      <c r="AC151" s="13">
        <v>90</v>
      </c>
      <c r="AD151" s="13">
        <f t="shared" ref="AD151:AD152" si="290">IF(AB151&gt;0,AB151*X151,"")</f>
        <v>48</v>
      </c>
      <c r="AE151" s="13">
        <f t="shared" ref="AE151:AE152" si="291">IF(Y151&gt;0,Y151*(AA151*AB151),"")</f>
        <v>1800</v>
      </c>
      <c r="AG151" s="28" t="str">
        <f>"6x750ml C"</f>
        <v>6x750ml C</v>
      </c>
    </row>
    <row r="152" spans="1:33" x14ac:dyDescent="0.25">
      <c r="A152" s="10" t="e">
        <f>IF(#REF!=0,"Hide","Show")</f>
        <v>#REF!</v>
      </c>
      <c r="B152" s="32" t="str">
        <f>"Lucien Le Moine"</f>
        <v>Lucien Le Moine</v>
      </c>
      <c r="C152" s="33" t="str">
        <f>"Chambolle-Musigny 1er Cru Les Hauts Doix"</f>
        <v>Chambolle-Musigny 1er Cru Les Hauts Doix</v>
      </c>
      <c r="D152" s="34">
        <v>6</v>
      </c>
      <c r="E152" s="34">
        <v>750</v>
      </c>
      <c r="F152" s="34" t="str">
        <f>"2014"</f>
        <v>2014</v>
      </c>
      <c r="G152" s="34" t="str">
        <f>"Red"</f>
        <v>Red</v>
      </c>
      <c r="H152" s="35" t="str">
        <f>"CHAMBOLLE-MUSIGNY"</f>
        <v>CHAMBOLLE-MUSIGNY</v>
      </c>
      <c r="I152" s="35" t="str">
        <f>"PINOT NOIR"</f>
        <v>PINOT NOIR</v>
      </c>
      <c r="J152" s="13" t="s">
        <v>75</v>
      </c>
      <c r="K152" s="13" t="s">
        <v>34</v>
      </c>
      <c r="L152" s="13" t="s">
        <v>34</v>
      </c>
      <c r="M152" s="13" t="s">
        <v>34</v>
      </c>
      <c r="N152" s="9">
        <v>13.5</v>
      </c>
      <c r="O152" s="13" t="str">
        <f t="shared" si="287"/>
        <v/>
      </c>
      <c r="P152" s="13" t="str">
        <f t="shared" si="288"/>
        <v/>
      </c>
      <c r="Q152" s="36" t="str">
        <f>"NO UPC"</f>
        <v>NO UPC</v>
      </c>
      <c r="R152" s="36"/>
      <c r="S152" s="22">
        <v>0</v>
      </c>
      <c r="T152" s="22">
        <v>0</v>
      </c>
      <c r="U152" s="22">
        <v>3.33</v>
      </c>
      <c r="V152" s="22">
        <v>13</v>
      </c>
      <c r="W152" s="22">
        <v>10</v>
      </c>
      <c r="X152" s="22">
        <v>8</v>
      </c>
      <c r="Y152" s="13">
        <v>20</v>
      </c>
      <c r="Z152" s="22">
        <f t="shared" si="289"/>
        <v>0.60185185185185186</v>
      </c>
      <c r="AA152" s="13">
        <v>15</v>
      </c>
      <c r="AB152" s="13">
        <v>6</v>
      </c>
      <c r="AC152" s="13">
        <v>90</v>
      </c>
      <c r="AD152" s="13">
        <f t="shared" si="290"/>
        <v>48</v>
      </c>
      <c r="AE152" s="13">
        <f t="shared" si="291"/>
        <v>1800</v>
      </c>
      <c r="AG152" s="28" t="str">
        <f>"6x750ml C"</f>
        <v>6x750ml C</v>
      </c>
    </row>
    <row r="153" spans="1:33" x14ac:dyDescent="0.25">
      <c r="A153" s="10" t="e">
        <f>IF(#REF!=0,"Hide","Show")</f>
        <v>#REF!</v>
      </c>
      <c r="B153" s="32" t="s">
        <v>71</v>
      </c>
      <c r="C153" s="33" t="s">
        <v>95</v>
      </c>
      <c r="D153" s="34">
        <v>6</v>
      </c>
      <c r="E153" s="34">
        <v>750</v>
      </c>
      <c r="F153" s="34" t="s">
        <v>106</v>
      </c>
      <c r="G153" s="34" t="s">
        <v>77</v>
      </c>
      <c r="H153" s="35" t="s">
        <v>109</v>
      </c>
      <c r="I153" s="35" t="s">
        <v>76</v>
      </c>
      <c r="J153" s="13" t="s">
        <v>75</v>
      </c>
      <c r="K153" s="13" t="s">
        <v>34</v>
      </c>
      <c r="L153" s="13" t="s">
        <v>34</v>
      </c>
      <c r="M153" s="13" t="s">
        <v>34</v>
      </c>
      <c r="N153" s="9">
        <v>13.5</v>
      </c>
      <c r="O153" s="13" t="str">
        <f t="shared" si="282"/>
        <v/>
      </c>
      <c r="P153" s="13" t="str">
        <f t="shared" si="283"/>
        <v/>
      </c>
      <c r="Q153" s="36" t="s">
        <v>91</v>
      </c>
      <c r="R153" s="36" t="s">
        <v>22</v>
      </c>
      <c r="S153" s="22">
        <v>0</v>
      </c>
      <c r="T153" s="22">
        <v>0</v>
      </c>
      <c r="U153" s="22">
        <v>3.33</v>
      </c>
      <c r="V153" s="22">
        <v>13</v>
      </c>
      <c r="W153" s="22">
        <v>10</v>
      </c>
      <c r="X153" s="22">
        <v>8</v>
      </c>
      <c r="Y153" s="13">
        <v>20</v>
      </c>
      <c r="Z153" s="22">
        <f t="shared" si="284"/>
        <v>0.60185185185185186</v>
      </c>
      <c r="AA153" s="13">
        <v>15</v>
      </c>
      <c r="AB153" s="13">
        <v>6</v>
      </c>
      <c r="AC153" s="13">
        <v>90</v>
      </c>
      <c r="AD153" s="13">
        <f t="shared" si="285"/>
        <v>48</v>
      </c>
      <c r="AE153" s="13">
        <f t="shared" si="286"/>
        <v>1800</v>
      </c>
      <c r="AG153" s="28" t="s">
        <v>73</v>
      </c>
    </row>
    <row r="154" spans="1:33" x14ac:dyDescent="0.25">
      <c r="A154" s="10" t="e">
        <f>IF(#REF!=0,"Hide","Show")</f>
        <v>#REF!</v>
      </c>
      <c r="B154" s="32" t="s">
        <v>71</v>
      </c>
      <c r="C154" s="33" t="s">
        <v>96</v>
      </c>
      <c r="D154" s="34">
        <v>6</v>
      </c>
      <c r="E154" s="34">
        <v>750</v>
      </c>
      <c r="F154" s="34" t="s">
        <v>86</v>
      </c>
      <c r="G154" s="34" t="s">
        <v>77</v>
      </c>
      <c r="H154" s="35" t="s">
        <v>109</v>
      </c>
      <c r="I154" s="35" t="s">
        <v>76</v>
      </c>
      <c r="J154" s="13" t="s">
        <v>75</v>
      </c>
      <c r="K154" s="13" t="s">
        <v>34</v>
      </c>
      <c r="L154" s="13" t="s">
        <v>34</v>
      </c>
      <c r="M154" s="13" t="s">
        <v>34</v>
      </c>
      <c r="N154" s="9">
        <v>13</v>
      </c>
      <c r="O154" s="13" t="str">
        <f t="shared" si="282"/>
        <v/>
      </c>
      <c r="P154" s="13" t="str">
        <f t="shared" si="283"/>
        <v/>
      </c>
      <c r="Q154" s="36" t="s">
        <v>91</v>
      </c>
      <c r="R154" s="36" t="s">
        <v>22</v>
      </c>
      <c r="S154" s="22">
        <v>0</v>
      </c>
      <c r="T154" s="22">
        <v>0</v>
      </c>
      <c r="U154" s="22">
        <v>3.33</v>
      </c>
      <c r="V154" s="22">
        <v>13</v>
      </c>
      <c r="W154" s="22">
        <v>10</v>
      </c>
      <c r="X154" s="22">
        <v>8</v>
      </c>
      <c r="Y154" s="13">
        <v>20</v>
      </c>
      <c r="Z154" s="22">
        <f t="shared" si="284"/>
        <v>0.60185185185185186</v>
      </c>
      <c r="AA154" s="13">
        <v>15</v>
      </c>
      <c r="AB154" s="13">
        <v>6</v>
      </c>
      <c r="AC154" s="13">
        <v>90</v>
      </c>
      <c r="AD154" s="13">
        <f t="shared" si="285"/>
        <v>48</v>
      </c>
      <c r="AE154" s="13">
        <f t="shared" si="286"/>
        <v>1800</v>
      </c>
      <c r="AG154" s="28" t="s">
        <v>73</v>
      </c>
    </row>
    <row r="155" spans="1:33" x14ac:dyDescent="0.25">
      <c r="A155" s="10" t="e">
        <f>IF(#REF!=0,"Hide","Show")</f>
        <v>#REF!</v>
      </c>
      <c r="B155" s="32" t="s">
        <v>71</v>
      </c>
      <c r="C155" s="33" t="s">
        <v>96</v>
      </c>
      <c r="D155" s="34">
        <v>6</v>
      </c>
      <c r="E155" s="34">
        <v>750</v>
      </c>
      <c r="F155" s="34" t="s">
        <v>106</v>
      </c>
      <c r="G155" s="34" t="s">
        <v>77</v>
      </c>
      <c r="H155" s="35" t="s">
        <v>109</v>
      </c>
      <c r="I155" s="35" t="s">
        <v>76</v>
      </c>
      <c r="J155" s="13" t="s">
        <v>75</v>
      </c>
      <c r="K155" s="13" t="s">
        <v>34</v>
      </c>
      <c r="L155" s="13" t="s">
        <v>34</v>
      </c>
      <c r="M155" s="13" t="s">
        <v>34</v>
      </c>
      <c r="N155" s="9">
        <v>13.5</v>
      </c>
      <c r="O155" s="13" t="str">
        <f t="shared" ref="O155" si="292">IF(LEN(Q155)=12,"UPC",IF(LEN(Q155)&gt;12,"EAN",""))</f>
        <v/>
      </c>
      <c r="P155" s="13" t="str">
        <f t="shared" ref="P155" si="293">IF(ISNUMBER(SEARCH("Gift",AG155)),"Gift Box","")</f>
        <v/>
      </c>
      <c r="Q155" s="36" t="s">
        <v>91</v>
      </c>
      <c r="R155" s="36" t="s">
        <v>22</v>
      </c>
      <c r="S155" s="22">
        <v>0</v>
      </c>
      <c r="T155" s="22">
        <v>0</v>
      </c>
      <c r="U155" s="22">
        <v>3.33</v>
      </c>
      <c r="V155" s="22">
        <v>13</v>
      </c>
      <c r="W155" s="22">
        <v>10</v>
      </c>
      <c r="X155" s="22">
        <v>8</v>
      </c>
      <c r="Y155" s="13">
        <v>20</v>
      </c>
      <c r="Z155" s="22">
        <f t="shared" ref="Z155" si="294">IF(V155&gt;0,(V155*W155*X155)/1728,"")</f>
        <v>0.60185185185185186</v>
      </c>
      <c r="AA155" s="13">
        <v>15</v>
      </c>
      <c r="AB155" s="13">
        <v>6</v>
      </c>
      <c r="AC155" s="13">
        <v>90</v>
      </c>
      <c r="AD155" s="13">
        <f t="shared" ref="AD155" si="295">IF(AB155&gt;0,AB155*X155,"")</f>
        <v>48</v>
      </c>
      <c r="AE155" s="13">
        <f t="shared" ref="AE155" si="296">IF(Y155&gt;0,Y155*(AA155*AB155),"")</f>
        <v>1800</v>
      </c>
      <c r="AG155" s="28" t="s">
        <v>73</v>
      </c>
    </row>
    <row r="156" spans="1:33" x14ac:dyDescent="0.25">
      <c r="A156" s="10" t="e">
        <f>IF(#REF!=0,"Hide","Show")</f>
        <v>#REF!</v>
      </c>
      <c r="B156" s="32" t="s">
        <v>71</v>
      </c>
      <c r="C156" s="33" t="s">
        <v>97</v>
      </c>
      <c r="D156" s="34">
        <v>6</v>
      </c>
      <c r="E156" s="34">
        <v>750</v>
      </c>
      <c r="F156" s="34" t="s">
        <v>87</v>
      </c>
      <c r="G156" s="34" t="s">
        <v>77</v>
      </c>
      <c r="H156" s="35" t="s">
        <v>109</v>
      </c>
      <c r="I156" s="35" t="s">
        <v>76</v>
      </c>
      <c r="J156" s="13" t="s">
        <v>75</v>
      </c>
      <c r="K156" s="13" t="s">
        <v>34</v>
      </c>
      <c r="L156" s="13" t="s">
        <v>34</v>
      </c>
      <c r="M156" s="13" t="s">
        <v>34</v>
      </c>
      <c r="N156" s="9">
        <v>13.5</v>
      </c>
      <c r="O156" s="13" t="str">
        <f t="shared" si="282"/>
        <v/>
      </c>
      <c r="P156" s="13" t="str">
        <f t="shared" si="283"/>
        <v/>
      </c>
      <c r="Q156" s="36" t="s">
        <v>91</v>
      </c>
      <c r="R156" s="36" t="s">
        <v>22</v>
      </c>
      <c r="S156" s="22">
        <v>0</v>
      </c>
      <c r="T156" s="22">
        <v>0</v>
      </c>
      <c r="U156" s="22">
        <v>3.33</v>
      </c>
      <c r="V156" s="22">
        <v>13</v>
      </c>
      <c r="W156" s="22">
        <v>10</v>
      </c>
      <c r="X156" s="22">
        <v>8</v>
      </c>
      <c r="Y156" s="13">
        <v>20</v>
      </c>
      <c r="Z156" s="22">
        <f t="shared" si="284"/>
        <v>0.60185185185185186</v>
      </c>
      <c r="AA156" s="13">
        <v>15</v>
      </c>
      <c r="AB156" s="13">
        <v>6</v>
      </c>
      <c r="AC156" s="13">
        <v>90</v>
      </c>
      <c r="AD156" s="13">
        <f t="shared" si="285"/>
        <v>48</v>
      </c>
      <c r="AE156" s="13">
        <f t="shared" si="286"/>
        <v>1800</v>
      </c>
      <c r="AG156" s="28" t="s">
        <v>73</v>
      </c>
    </row>
    <row r="157" spans="1:33" x14ac:dyDescent="0.25">
      <c r="A157" s="10" t="e">
        <f>IF(#REF!=0,"Hide","Show")</f>
        <v>#REF!</v>
      </c>
      <c r="B157" s="32" t="s">
        <v>71</v>
      </c>
      <c r="C157" s="33" t="s">
        <v>97</v>
      </c>
      <c r="D157" s="34">
        <v>6</v>
      </c>
      <c r="E157" s="34">
        <v>750</v>
      </c>
      <c r="F157" s="34" t="s">
        <v>93</v>
      </c>
      <c r="G157" s="34" t="s">
        <v>77</v>
      </c>
      <c r="H157" s="35" t="s">
        <v>109</v>
      </c>
      <c r="I157" s="35" t="s">
        <v>76</v>
      </c>
      <c r="J157" s="13" t="s">
        <v>75</v>
      </c>
      <c r="K157" s="13" t="s">
        <v>34</v>
      </c>
      <c r="L157" s="13" t="s">
        <v>34</v>
      </c>
      <c r="M157" s="13" t="s">
        <v>34</v>
      </c>
      <c r="N157" s="9">
        <v>13.5</v>
      </c>
      <c r="O157" s="13" t="str">
        <f t="shared" ref="O157" si="297">IF(LEN(Q157)=12,"UPC",IF(LEN(Q157)&gt;12,"EAN",""))</f>
        <v/>
      </c>
      <c r="P157" s="13" t="str">
        <f t="shared" ref="P157" si="298">IF(ISNUMBER(SEARCH("Gift",AG157)),"Gift Box","")</f>
        <v/>
      </c>
      <c r="Q157" s="36" t="s">
        <v>91</v>
      </c>
      <c r="R157" s="36" t="s">
        <v>22</v>
      </c>
      <c r="S157" s="22">
        <v>0</v>
      </c>
      <c r="T157" s="22">
        <v>0</v>
      </c>
      <c r="U157" s="22">
        <v>3.33</v>
      </c>
      <c r="V157" s="22">
        <v>13</v>
      </c>
      <c r="W157" s="22">
        <v>10</v>
      </c>
      <c r="X157" s="22">
        <v>8</v>
      </c>
      <c r="Y157" s="13">
        <v>20</v>
      </c>
      <c r="Z157" s="22">
        <f t="shared" ref="Z157" si="299">IF(V157&gt;0,(V157*W157*X157)/1728,"")</f>
        <v>0.60185185185185186</v>
      </c>
      <c r="AA157" s="13">
        <v>15</v>
      </c>
      <c r="AB157" s="13">
        <v>6</v>
      </c>
      <c r="AC157" s="13">
        <v>90</v>
      </c>
      <c r="AD157" s="13">
        <f t="shared" ref="AD157" si="300">IF(AB157&gt;0,AB157*X157,"")</f>
        <v>48</v>
      </c>
      <c r="AE157" s="13">
        <f t="shared" ref="AE157" si="301">IF(Y157&gt;0,Y157*(AA157*AB157),"")</f>
        <v>1800</v>
      </c>
      <c r="AG157" s="28" t="s">
        <v>73</v>
      </c>
    </row>
    <row r="158" spans="1:33" x14ac:dyDescent="0.25">
      <c r="A158" s="10" t="e">
        <f>IF(#REF!=0,"Hide","Show")</f>
        <v>#REF!</v>
      </c>
      <c r="B158" s="32" t="s">
        <v>71</v>
      </c>
      <c r="C158" s="33" t="s">
        <v>98</v>
      </c>
      <c r="D158" s="34">
        <v>6</v>
      </c>
      <c r="E158" s="34">
        <v>750</v>
      </c>
      <c r="F158" s="34" t="s">
        <v>93</v>
      </c>
      <c r="G158" s="34" t="s">
        <v>77</v>
      </c>
      <c r="H158" s="35" t="s">
        <v>109</v>
      </c>
      <c r="I158" s="35" t="s">
        <v>76</v>
      </c>
      <c r="J158" s="13" t="s">
        <v>75</v>
      </c>
      <c r="K158" s="13" t="s">
        <v>34</v>
      </c>
      <c r="L158" s="13" t="s">
        <v>34</v>
      </c>
      <c r="M158" s="13" t="s">
        <v>34</v>
      </c>
      <c r="N158" s="9">
        <v>13.5</v>
      </c>
      <c r="O158" s="13" t="str">
        <f t="shared" si="282"/>
        <v/>
      </c>
      <c r="P158" s="13" t="str">
        <f t="shared" si="283"/>
        <v/>
      </c>
      <c r="Q158" s="36" t="s">
        <v>91</v>
      </c>
      <c r="R158" s="36" t="s">
        <v>22</v>
      </c>
      <c r="S158" s="22">
        <v>0</v>
      </c>
      <c r="T158" s="22">
        <v>0</v>
      </c>
      <c r="U158" s="22">
        <v>3.33</v>
      </c>
      <c r="V158" s="22">
        <v>13</v>
      </c>
      <c r="W158" s="22">
        <v>10</v>
      </c>
      <c r="X158" s="22">
        <v>8</v>
      </c>
      <c r="Y158" s="13">
        <v>20</v>
      </c>
      <c r="Z158" s="22">
        <f t="shared" si="284"/>
        <v>0.60185185185185186</v>
      </c>
      <c r="AA158" s="13">
        <v>15</v>
      </c>
      <c r="AB158" s="13">
        <v>6</v>
      </c>
      <c r="AC158" s="13">
        <v>90</v>
      </c>
      <c r="AD158" s="13">
        <f t="shared" si="285"/>
        <v>48</v>
      </c>
      <c r="AE158" s="13">
        <f t="shared" si="286"/>
        <v>1800</v>
      </c>
      <c r="AG158" s="28" t="s">
        <v>73</v>
      </c>
    </row>
    <row r="159" spans="1:33" x14ac:dyDescent="0.25">
      <c r="A159" s="10" t="e">
        <f>IF(#REF!=0,"Hide","Show")</f>
        <v>#REF!</v>
      </c>
      <c r="B159" s="32" t="s">
        <v>71</v>
      </c>
      <c r="C159" s="33" t="s">
        <v>99</v>
      </c>
      <c r="D159" s="34">
        <v>6</v>
      </c>
      <c r="E159" s="34">
        <v>750</v>
      </c>
      <c r="F159" s="34" t="s">
        <v>86</v>
      </c>
      <c r="G159" s="34" t="s">
        <v>77</v>
      </c>
      <c r="H159" s="35" t="s">
        <v>110</v>
      </c>
      <c r="I159" s="35" t="s">
        <v>76</v>
      </c>
      <c r="J159" s="13" t="s">
        <v>75</v>
      </c>
      <c r="K159" s="13" t="s">
        <v>34</v>
      </c>
      <c r="L159" s="13" t="s">
        <v>34</v>
      </c>
      <c r="M159" s="13" t="s">
        <v>34</v>
      </c>
      <c r="N159" s="9">
        <v>13</v>
      </c>
      <c r="O159" s="13" t="str">
        <f t="shared" si="282"/>
        <v/>
      </c>
      <c r="P159" s="13" t="str">
        <f t="shared" si="283"/>
        <v/>
      </c>
      <c r="Q159" s="36" t="s">
        <v>91</v>
      </c>
      <c r="R159" s="36" t="s">
        <v>22</v>
      </c>
      <c r="S159" s="22">
        <v>0</v>
      </c>
      <c r="T159" s="22">
        <v>0</v>
      </c>
      <c r="U159" s="22">
        <v>3.33</v>
      </c>
      <c r="V159" s="22">
        <v>13</v>
      </c>
      <c r="W159" s="22">
        <v>10</v>
      </c>
      <c r="X159" s="22">
        <v>8</v>
      </c>
      <c r="Y159" s="13">
        <v>20</v>
      </c>
      <c r="Z159" s="22">
        <f t="shared" si="284"/>
        <v>0.60185185185185186</v>
      </c>
      <c r="AA159" s="13">
        <v>15</v>
      </c>
      <c r="AB159" s="13">
        <v>6</v>
      </c>
      <c r="AC159" s="13">
        <v>90</v>
      </c>
      <c r="AD159" s="13">
        <f t="shared" si="285"/>
        <v>48</v>
      </c>
      <c r="AE159" s="13">
        <f t="shared" si="286"/>
        <v>1800</v>
      </c>
      <c r="AG159" s="28" t="s">
        <v>73</v>
      </c>
    </row>
    <row r="160" spans="1:33" x14ac:dyDescent="0.25">
      <c r="A160" s="10" t="e">
        <f>IF(#REF!=0,"Hide","Show")</f>
        <v>#REF!</v>
      </c>
      <c r="B160" s="32" t="s">
        <v>71</v>
      </c>
      <c r="C160" s="33" t="s">
        <v>100</v>
      </c>
      <c r="D160" s="34">
        <v>6</v>
      </c>
      <c r="E160" s="34">
        <v>750</v>
      </c>
      <c r="F160" s="34" t="s">
        <v>87</v>
      </c>
      <c r="G160" s="34" t="s">
        <v>77</v>
      </c>
      <c r="H160" s="35" t="s">
        <v>110</v>
      </c>
      <c r="I160" s="35" t="s">
        <v>76</v>
      </c>
      <c r="J160" s="13" t="s">
        <v>75</v>
      </c>
      <c r="K160" s="13" t="s">
        <v>34</v>
      </c>
      <c r="L160" s="13" t="s">
        <v>34</v>
      </c>
      <c r="M160" s="13" t="s">
        <v>34</v>
      </c>
      <c r="N160" s="9">
        <v>13.5</v>
      </c>
      <c r="O160" s="13" t="str">
        <f t="shared" si="282"/>
        <v/>
      </c>
      <c r="P160" s="13" t="str">
        <f t="shared" si="283"/>
        <v/>
      </c>
      <c r="Q160" s="36" t="s">
        <v>91</v>
      </c>
      <c r="R160" s="36" t="s">
        <v>22</v>
      </c>
      <c r="S160" s="22">
        <v>0</v>
      </c>
      <c r="T160" s="22">
        <v>0</v>
      </c>
      <c r="U160" s="22">
        <v>3.33</v>
      </c>
      <c r="V160" s="22">
        <v>13</v>
      </c>
      <c r="W160" s="22">
        <v>10</v>
      </c>
      <c r="X160" s="22">
        <v>8</v>
      </c>
      <c r="Y160" s="13">
        <v>20</v>
      </c>
      <c r="Z160" s="22">
        <f t="shared" si="284"/>
        <v>0.60185185185185186</v>
      </c>
      <c r="AA160" s="13">
        <v>15</v>
      </c>
      <c r="AB160" s="13">
        <v>6</v>
      </c>
      <c r="AC160" s="13">
        <v>90</v>
      </c>
      <c r="AD160" s="13">
        <f t="shared" si="285"/>
        <v>48</v>
      </c>
      <c r="AE160" s="13">
        <f t="shared" si="286"/>
        <v>1800</v>
      </c>
      <c r="AG160" s="28" t="s">
        <v>73</v>
      </c>
    </row>
    <row r="161" spans="1:33" x14ac:dyDescent="0.25">
      <c r="A161" s="10" t="e">
        <f>IF(#REF!=0,"Hide","Show")</f>
        <v>#REF!</v>
      </c>
      <c r="B161" s="32" t="s">
        <v>71</v>
      </c>
      <c r="C161" s="33" t="s">
        <v>100</v>
      </c>
      <c r="D161" s="34">
        <v>6</v>
      </c>
      <c r="E161" s="34">
        <v>750</v>
      </c>
      <c r="F161" s="34" t="s">
        <v>107</v>
      </c>
      <c r="G161" s="34" t="s">
        <v>77</v>
      </c>
      <c r="H161" s="35" t="s">
        <v>110</v>
      </c>
      <c r="I161" s="35" t="s">
        <v>76</v>
      </c>
      <c r="J161" s="13" t="s">
        <v>75</v>
      </c>
      <c r="K161" s="13" t="s">
        <v>34</v>
      </c>
      <c r="L161" s="13" t="s">
        <v>34</v>
      </c>
      <c r="M161" s="13" t="s">
        <v>34</v>
      </c>
      <c r="N161" s="9">
        <v>13.5</v>
      </c>
      <c r="O161" s="13" t="str">
        <f t="shared" ref="O161" si="302">IF(LEN(Q161)=12,"UPC",IF(LEN(Q161)&gt;12,"EAN",""))</f>
        <v/>
      </c>
      <c r="P161" s="13" t="str">
        <f t="shared" ref="P161" si="303">IF(ISNUMBER(SEARCH("Gift",AG161)),"Gift Box","")</f>
        <v/>
      </c>
      <c r="Q161" s="36" t="s">
        <v>91</v>
      </c>
      <c r="R161" s="36" t="s">
        <v>22</v>
      </c>
      <c r="S161" s="22">
        <v>0</v>
      </c>
      <c r="T161" s="22">
        <v>0</v>
      </c>
      <c r="U161" s="22">
        <v>3.33</v>
      </c>
      <c r="V161" s="22">
        <v>13</v>
      </c>
      <c r="W161" s="22">
        <v>10</v>
      </c>
      <c r="X161" s="22">
        <v>8</v>
      </c>
      <c r="Y161" s="13">
        <v>20</v>
      </c>
      <c r="Z161" s="22">
        <f t="shared" ref="Z161" si="304">IF(V161&gt;0,(V161*W161*X161)/1728,"")</f>
        <v>0.60185185185185186</v>
      </c>
      <c r="AA161" s="13">
        <v>15</v>
      </c>
      <c r="AB161" s="13">
        <v>6</v>
      </c>
      <c r="AC161" s="13">
        <v>90</v>
      </c>
      <c r="AD161" s="13">
        <f t="shared" ref="AD161" si="305">IF(AB161&gt;0,AB161*X161,"")</f>
        <v>48</v>
      </c>
      <c r="AE161" s="13">
        <f t="shared" ref="AE161" si="306">IF(Y161&gt;0,Y161*(AA161*AB161),"")</f>
        <v>1800</v>
      </c>
      <c r="AG161" s="28" t="s">
        <v>73</v>
      </c>
    </row>
    <row r="162" spans="1:33" x14ac:dyDescent="0.25">
      <c r="A162" s="10" t="e">
        <f>IF(#REF!=0,"Hide","Show")</f>
        <v>#REF!</v>
      </c>
      <c r="B162" s="32" t="s">
        <v>71</v>
      </c>
      <c r="C162" s="33" t="s">
        <v>101</v>
      </c>
      <c r="D162" s="34">
        <v>6</v>
      </c>
      <c r="E162" s="34">
        <v>750</v>
      </c>
      <c r="F162" s="34" t="s">
        <v>93</v>
      </c>
      <c r="G162" s="34" t="s">
        <v>77</v>
      </c>
      <c r="H162" s="35" t="s">
        <v>111</v>
      </c>
      <c r="I162" s="35" t="s">
        <v>76</v>
      </c>
      <c r="J162" s="13" t="s">
        <v>75</v>
      </c>
      <c r="K162" s="13" t="s">
        <v>34</v>
      </c>
      <c r="L162" s="13" t="s">
        <v>34</v>
      </c>
      <c r="M162" s="13" t="s">
        <v>34</v>
      </c>
      <c r="N162" s="9">
        <v>13.5</v>
      </c>
      <c r="O162" s="13" t="str">
        <f t="shared" si="282"/>
        <v/>
      </c>
      <c r="P162" s="13" t="str">
        <f t="shared" si="283"/>
        <v/>
      </c>
      <c r="Q162" s="36" t="s">
        <v>91</v>
      </c>
      <c r="R162" s="36" t="s">
        <v>22</v>
      </c>
      <c r="S162" s="22">
        <v>0</v>
      </c>
      <c r="T162" s="22">
        <v>0</v>
      </c>
      <c r="U162" s="22">
        <v>3.33</v>
      </c>
      <c r="V162" s="22">
        <v>13</v>
      </c>
      <c r="W162" s="22">
        <v>10</v>
      </c>
      <c r="X162" s="22">
        <v>8</v>
      </c>
      <c r="Y162" s="13">
        <v>20</v>
      </c>
      <c r="Z162" s="22">
        <f t="shared" si="284"/>
        <v>0.60185185185185186</v>
      </c>
      <c r="AA162" s="13">
        <v>15</v>
      </c>
      <c r="AB162" s="13">
        <v>6</v>
      </c>
      <c r="AC162" s="13">
        <v>90</v>
      </c>
      <c r="AD162" s="13">
        <f t="shared" si="285"/>
        <v>48</v>
      </c>
      <c r="AE162" s="13">
        <f t="shared" si="286"/>
        <v>1800</v>
      </c>
      <c r="AG162" s="28" t="s">
        <v>73</v>
      </c>
    </row>
    <row r="163" spans="1:33" x14ac:dyDescent="0.25">
      <c r="A163" s="10" t="e">
        <f>IF(#REF!=0,"Hide","Show")</f>
        <v>#REF!</v>
      </c>
      <c r="B163" s="32" t="s">
        <v>71</v>
      </c>
      <c r="C163" s="33" t="s">
        <v>102</v>
      </c>
      <c r="D163" s="34">
        <v>6</v>
      </c>
      <c r="E163" s="34">
        <v>750</v>
      </c>
      <c r="F163" s="34" t="s">
        <v>93</v>
      </c>
      <c r="G163" s="34" t="s">
        <v>77</v>
      </c>
      <c r="H163" s="35" t="s">
        <v>111</v>
      </c>
      <c r="I163" s="35" t="s">
        <v>76</v>
      </c>
      <c r="J163" s="13" t="s">
        <v>75</v>
      </c>
      <c r="K163" s="13" t="s">
        <v>34</v>
      </c>
      <c r="L163" s="13" t="s">
        <v>34</v>
      </c>
      <c r="M163" s="13" t="s">
        <v>34</v>
      </c>
      <c r="N163" s="9">
        <v>13.5</v>
      </c>
      <c r="O163" s="13" t="str">
        <f t="shared" si="282"/>
        <v/>
      </c>
      <c r="P163" s="13" t="str">
        <f t="shared" si="283"/>
        <v/>
      </c>
      <c r="Q163" s="36" t="s">
        <v>91</v>
      </c>
      <c r="R163" s="36" t="s">
        <v>22</v>
      </c>
      <c r="S163" s="22">
        <v>0</v>
      </c>
      <c r="T163" s="22">
        <v>0</v>
      </c>
      <c r="U163" s="22">
        <v>3.33</v>
      </c>
      <c r="V163" s="22">
        <v>13</v>
      </c>
      <c r="W163" s="22">
        <v>10</v>
      </c>
      <c r="X163" s="22">
        <v>8</v>
      </c>
      <c r="Y163" s="13">
        <v>20</v>
      </c>
      <c r="Z163" s="22">
        <f t="shared" si="284"/>
        <v>0.60185185185185186</v>
      </c>
      <c r="AA163" s="13">
        <v>15</v>
      </c>
      <c r="AB163" s="13">
        <v>6</v>
      </c>
      <c r="AC163" s="13">
        <v>90</v>
      </c>
      <c r="AD163" s="13">
        <f t="shared" si="285"/>
        <v>48</v>
      </c>
      <c r="AE163" s="13">
        <f t="shared" si="286"/>
        <v>1800</v>
      </c>
      <c r="AG163" s="28" t="s">
        <v>73</v>
      </c>
    </row>
    <row r="164" spans="1:33" x14ac:dyDescent="0.25">
      <c r="A164" s="10" t="e">
        <f>IF(#REF!=0,"Hide","Show")</f>
        <v>#REF!</v>
      </c>
      <c r="B164" s="32" t="s">
        <v>71</v>
      </c>
      <c r="C164" s="33" t="s">
        <v>103</v>
      </c>
      <c r="D164" s="34">
        <v>6</v>
      </c>
      <c r="E164" s="34">
        <v>750</v>
      </c>
      <c r="F164" s="34" t="s">
        <v>93</v>
      </c>
      <c r="G164" s="34" t="s">
        <v>77</v>
      </c>
      <c r="H164" s="35" t="s">
        <v>111</v>
      </c>
      <c r="I164" s="35" t="s">
        <v>76</v>
      </c>
      <c r="J164" s="13" t="s">
        <v>75</v>
      </c>
      <c r="K164" s="13" t="s">
        <v>34</v>
      </c>
      <c r="L164" s="13" t="s">
        <v>34</v>
      </c>
      <c r="M164" s="13" t="s">
        <v>34</v>
      </c>
      <c r="N164" s="9">
        <v>13</v>
      </c>
      <c r="O164" s="13" t="str">
        <f t="shared" si="282"/>
        <v/>
      </c>
      <c r="P164" s="13" t="str">
        <f t="shared" si="283"/>
        <v/>
      </c>
      <c r="Q164" s="36" t="s">
        <v>91</v>
      </c>
      <c r="R164" s="36" t="s">
        <v>22</v>
      </c>
      <c r="S164" s="22">
        <v>0</v>
      </c>
      <c r="T164" s="22">
        <v>0</v>
      </c>
      <c r="U164" s="22">
        <v>3.33</v>
      </c>
      <c r="V164" s="22">
        <v>13</v>
      </c>
      <c r="W164" s="22">
        <v>10</v>
      </c>
      <c r="X164" s="22">
        <v>8</v>
      </c>
      <c r="Y164" s="13">
        <v>20</v>
      </c>
      <c r="Z164" s="22">
        <f t="shared" si="284"/>
        <v>0.60185185185185186</v>
      </c>
      <c r="AA164" s="13">
        <v>15</v>
      </c>
      <c r="AB164" s="13">
        <v>6</v>
      </c>
      <c r="AC164" s="13">
        <v>90</v>
      </c>
      <c r="AD164" s="13">
        <f t="shared" si="285"/>
        <v>48</v>
      </c>
      <c r="AE164" s="13">
        <f t="shared" si="286"/>
        <v>1800</v>
      </c>
      <c r="AG164" s="28" t="s">
        <v>73</v>
      </c>
    </row>
    <row r="165" spans="1:33" x14ac:dyDescent="0.25">
      <c r="A165" s="10" t="e">
        <f>IF(#REF!=0,"Hide","Show")</f>
        <v>#REF!</v>
      </c>
      <c r="B165" s="32" t="s">
        <v>71</v>
      </c>
      <c r="C165" s="33" t="s">
        <v>104</v>
      </c>
      <c r="D165" s="34">
        <v>6</v>
      </c>
      <c r="E165" s="34">
        <v>750</v>
      </c>
      <c r="F165" s="34" t="s">
        <v>93</v>
      </c>
      <c r="G165" s="34" t="s">
        <v>77</v>
      </c>
      <c r="H165" s="35" t="s">
        <v>111</v>
      </c>
      <c r="I165" s="35" t="s">
        <v>76</v>
      </c>
      <c r="J165" s="13" t="s">
        <v>75</v>
      </c>
      <c r="K165" s="13" t="s">
        <v>34</v>
      </c>
      <c r="L165" s="13" t="s">
        <v>34</v>
      </c>
      <c r="M165" s="13" t="s">
        <v>34</v>
      </c>
      <c r="N165" s="9">
        <v>13</v>
      </c>
      <c r="O165" s="13" t="str">
        <f t="shared" si="282"/>
        <v/>
      </c>
      <c r="P165" s="13" t="str">
        <f t="shared" si="283"/>
        <v/>
      </c>
      <c r="Q165" s="36" t="s">
        <v>91</v>
      </c>
      <c r="R165" s="36" t="s">
        <v>22</v>
      </c>
      <c r="S165" s="22">
        <v>0</v>
      </c>
      <c r="T165" s="22">
        <v>0</v>
      </c>
      <c r="U165" s="22">
        <v>3.33</v>
      </c>
      <c r="V165" s="22">
        <v>13</v>
      </c>
      <c r="W165" s="22">
        <v>10</v>
      </c>
      <c r="X165" s="22">
        <v>8</v>
      </c>
      <c r="Y165" s="13">
        <v>20</v>
      </c>
      <c r="Z165" s="22">
        <f t="shared" si="284"/>
        <v>0.60185185185185186</v>
      </c>
      <c r="AA165" s="13">
        <v>15</v>
      </c>
      <c r="AB165" s="13">
        <v>6</v>
      </c>
      <c r="AC165" s="13">
        <v>90</v>
      </c>
      <c r="AD165" s="13">
        <f t="shared" si="285"/>
        <v>48</v>
      </c>
      <c r="AE165" s="13">
        <f t="shared" si="286"/>
        <v>1800</v>
      </c>
      <c r="AG165" s="28" t="s">
        <v>73</v>
      </c>
    </row>
    <row r="166" spans="1:33" x14ac:dyDescent="0.25">
      <c r="A166" s="10" t="e">
        <f>IF(#REF!=0,"Hide","Show")</f>
        <v>#REF!</v>
      </c>
      <c r="B166" s="32" t="s">
        <v>71</v>
      </c>
      <c r="C166" s="33" t="s">
        <v>105</v>
      </c>
      <c r="D166" s="34">
        <v>6</v>
      </c>
      <c r="E166" s="34">
        <v>750</v>
      </c>
      <c r="F166" s="34" t="s">
        <v>108</v>
      </c>
      <c r="G166" s="34" t="s">
        <v>77</v>
      </c>
      <c r="H166" s="35" t="s">
        <v>111</v>
      </c>
      <c r="I166" s="35" t="s">
        <v>76</v>
      </c>
      <c r="J166" s="13" t="s">
        <v>75</v>
      </c>
      <c r="K166" s="13" t="s">
        <v>34</v>
      </c>
      <c r="L166" s="13" t="s">
        <v>34</v>
      </c>
      <c r="M166" s="13" t="s">
        <v>34</v>
      </c>
      <c r="N166" s="9">
        <v>13.5</v>
      </c>
      <c r="O166" s="13" t="str">
        <f t="shared" si="282"/>
        <v/>
      </c>
      <c r="P166" s="13" t="str">
        <f t="shared" si="283"/>
        <v/>
      </c>
      <c r="Q166" s="36" t="s">
        <v>22</v>
      </c>
      <c r="R166" s="36" t="s">
        <v>22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13">
        <v>0</v>
      </c>
      <c r="Z166" s="22" t="str">
        <f t="shared" si="284"/>
        <v/>
      </c>
      <c r="AA166" s="13">
        <v>15</v>
      </c>
      <c r="AB166" s="13">
        <v>6</v>
      </c>
      <c r="AC166" s="13">
        <v>0</v>
      </c>
      <c r="AD166" s="13">
        <f t="shared" si="285"/>
        <v>0</v>
      </c>
      <c r="AE166" s="13" t="str">
        <f t="shared" si="286"/>
        <v/>
      </c>
      <c r="AG166" s="28" t="s">
        <v>73</v>
      </c>
    </row>
    <row r="167" spans="1:33" x14ac:dyDescent="0.25">
      <c r="A167" s="10" t="e">
        <f>IF(#REF!=0,"Hide","Show")</f>
        <v>#REF!</v>
      </c>
      <c r="B167" s="32" t="str">
        <f>"Lucien Le Moine"</f>
        <v>Lucien Le Moine</v>
      </c>
      <c r="C167" s="33" t="str">
        <f>"Nuits-St.-Georges 1er Cru Les Cailles"</f>
        <v>Nuits-St.-Georges 1er Cru Les Cailles</v>
      </c>
      <c r="D167" s="34">
        <v>6</v>
      </c>
      <c r="E167" s="34">
        <v>750</v>
      </c>
      <c r="F167" s="34" t="str">
        <f>"2011"</f>
        <v>2011</v>
      </c>
      <c r="G167" s="34" t="str">
        <f>"Red"</f>
        <v>Red</v>
      </c>
      <c r="H167" s="35" t="str">
        <f>"NUITS-SAINT-GEORGES"</f>
        <v>NUITS-SAINT-GEORGES</v>
      </c>
      <c r="I167" s="35" t="str">
        <f>"PINOT NOIR"</f>
        <v>PINOT NOIR</v>
      </c>
      <c r="J167" s="13" t="s">
        <v>75</v>
      </c>
      <c r="K167" s="13" t="s">
        <v>34</v>
      </c>
      <c r="L167" s="13" t="s">
        <v>34</v>
      </c>
      <c r="M167" s="13" t="s">
        <v>34</v>
      </c>
      <c r="N167" s="9">
        <v>13.5</v>
      </c>
      <c r="O167" s="13" t="str">
        <f t="shared" si="282"/>
        <v/>
      </c>
      <c r="P167" s="13" t="str">
        <f t="shared" si="283"/>
        <v/>
      </c>
      <c r="Q167" s="36" t="str">
        <f>"NO UPC"</f>
        <v>NO UPC</v>
      </c>
      <c r="R167" s="36"/>
      <c r="S167" s="22">
        <v>0</v>
      </c>
      <c r="T167" s="22">
        <v>0</v>
      </c>
      <c r="U167" s="22">
        <v>3.33</v>
      </c>
      <c r="V167" s="22">
        <v>13</v>
      </c>
      <c r="W167" s="22">
        <v>10</v>
      </c>
      <c r="X167" s="22">
        <v>8</v>
      </c>
      <c r="Y167" s="13">
        <v>20</v>
      </c>
      <c r="Z167" s="22">
        <f t="shared" si="284"/>
        <v>0.60185185185185186</v>
      </c>
      <c r="AA167" s="13">
        <v>15</v>
      </c>
      <c r="AB167" s="13">
        <v>6</v>
      </c>
      <c r="AC167" s="13">
        <v>90</v>
      </c>
      <c r="AD167" s="13">
        <f t="shared" si="285"/>
        <v>48</v>
      </c>
      <c r="AE167" s="13">
        <f t="shared" si="286"/>
        <v>1800</v>
      </c>
      <c r="AG167" s="28" t="str">
        <f>"6x750ml C"</f>
        <v>6x750ml C</v>
      </c>
    </row>
    <row r="168" spans="1:33" x14ac:dyDescent="0.25">
      <c r="A168" s="10" t="e">
        <f>IF(#REF!=0,"Hide","Show")</f>
        <v>#REF!</v>
      </c>
      <c r="B168" s="32" t="str">
        <f>"Lucien Le Moine"</f>
        <v>Lucien Le Moine</v>
      </c>
      <c r="C168" s="33" t="str">
        <f>"Nuits-St.-Georges 1er Cru Les Cailles"</f>
        <v>Nuits-St.-Georges 1er Cru Les Cailles</v>
      </c>
      <c r="D168" s="34">
        <v>6</v>
      </c>
      <c r="E168" s="34">
        <v>750</v>
      </c>
      <c r="F168" s="34" t="str">
        <f>"2013"</f>
        <v>2013</v>
      </c>
      <c r="G168" s="34" t="str">
        <f>"Red"</f>
        <v>Red</v>
      </c>
      <c r="H168" s="35" t="str">
        <f>"NUITS-SAINT-GEORGES"</f>
        <v>NUITS-SAINT-GEORGES</v>
      </c>
      <c r="I168" s="35" t="str">
        <f>"PINOT NOIR"</f>
        <v>PINOT NOIR</v>
      </c>
      <c r="J168" s="13" t="s">
        <v>75</v>
      </c>
      <c r="K168" s="13" t="s">
        <v>34</v>
      </c>
      <c r="L168" s="13" t="s">
        <v>34</v>
      </c>
      <c r="M168" s="13" t="s">
        <v>34</v>
      </c>
      <c r="N168" s="9">
        <v>13.5</v>
      </c>
      <c r="O168" s="13" t="str">
        <f t="shared" ref="O168:O169" si="307">IF(LEN(Q168)=12,"UPC",IF(LEN(Q168)&gt;12,"EAN",""))</f>
        <v/>
      </c>
      <c r="P168" s="13" t="str">
        <f t="shared" ref="P168:P169" si="308">IF(ISNUMBER(SEARCH("Gift",AG168)),"Gift Box","")</f>
        <v/>
      </c>
      <c r="Q168" s="36" t="str">
        <f>"NO UPC"</f>
        <v>NO UPC</v>
      </c>
      <c r="R168" s="36"/>
      <c r="S168" s="22">
        <v>0</v>
      </c>
      <c r="T168" s="22">
        <v>0</v>
      </c>
      <c r="U168" s="22">
        <v>3.33</v>
      </c>
      <c r="V168" s="22">
        <v>13</v>
      </c>
      <c r="W168" s="22">
        <v>10</v>
      </c>
      <c r="X168" s="22">
        <v>8</v>
      </c>
      <c r="Y168" s="13">
        <v>20</v>
      </c>
      <c r="Z168" s="22">
        <f t="shared" ref="Z168:Z169" si="309">IF(V168&gt;0,(V168*W168*X168)/1728,"")</f>
        <v>0.60185185185185186</v>
      </c>
      <c r="AA168" s="13">
        <v>15</v>
      </c>
      <c r="AB168" s="13">
        <v>6</v>
      </c>
      <c r="AC168" s="13">
        <v>90</v>
      </c>
      <c r="AD168" s="13">
        <f t="shared" ref="AD168:AD169" si="310">IF(AB168&gt;0,AB168*X168,"")</f>
        <v>48</v>
      </c>
      <c r="AE168" s="13">
        <f t="shared" ref="AE168:AE169" si="311">IF(Y168&gt;0,Y168*(AA168*AB168),"")</f>
        <v>1800</v>
      </c>
      <c r="AG168" s="28" t="str">
        <f>"6x750ml C"</f>
        <v>6x750ml C</v>
      </c>
    </row>
    <row r="169" spans="1:33" x14ac:dyDescent="0.25">
      <c r="A169" s="10" t="e">
        <f>IF(#REF!=0,"Hide","Show")</f>
        <v>#REF!</v>
      </c>
      <c r="B169" s="32" t="str">
        <f>"Lucien Le Moine"</f>
        <v>Lucien Le Moine</v>
      </c>
      <c r="C169" s="33" t="str">
        <f>"Nuits-St.-Georges 1er Cru Les Cailles"</f>
        <v>Nuits-St.-Georges 1er Cru Les Cailles</v>
      </c>
      <c r="D169" s="34">
        <v>6</v>
      </c>
      <c r="E169" s="34">
        <v>750</v>
      </c>
      <c r="F169" s="34" t="str">
        <f>"2014"</f>
        <v>2014</v>
      </c>
      <c r="G169" s="34" t="str">
        <f>"Red"</f>
        <v>Red</v>
      </c>
      <c r="H169" s="35" t="str">
        <f>"NUITS-SAINT-GEORGES"</f>
        <v>NUITS-SAINT-GEORGES</v>
      </c>
      <c r="I169" s="35" t="str">
        <f>"PINOT NOIR"</f>
        <v>PINOT NOIR</v>
      </c>
      <c r="J169" s="13" t="s">
        <v>75</v>
      </c>
      <c r="K169" s="13" t="s">
        <v>34</v>
      </c>
      <c r="L169" s="13" t="s">
        <v>34</v>
      </c>
      <c r="M169" s="13" t="s">
        <v>34</v>
      </c>
      <c r="N169" s="9">
        <v>13.5</v>
      </c>
      <c r="O169" s="13" t="str">
        <f t="shared" si="307"/>
        <v/>
      </c>
      <c r="P169" s="13" t="str">
        <f t="shared" si="308"/>
        <v/>
      </c>
      <c r="Q169" s="36" t="str">
        <f>"NO UPC"</f>
        <v>NO UPC</v>
      </c>
      <c r="R169" s="36"/>
      <c r="S169" s="22">
        <v>0</v>
      </c>
      <c r="T169" s="22">
        <v>0</v>
      </c>
      <c r="U169" s="22">
        <v>3.33</v>
      </c>
      <c r="V169" s="22">
        <v>13</v>
      </c>
      <c r="W169" s="22">
        <v>10</v>
      </c>
      <c r="X169" s="22">
        <v>8</v>
      </c>
      <c r="Y169" s="13">
        <v>20</v>
      </c>
      <c r="Z169" s="22">
        <f t="shared" si="309"/>
        <v>0.60185185185185186</v>
      </c>
      <c r="AA169" s="13">
        <v>15</v>
      </c>
      <c r="AB169" s="13">
        <v>6</v>
      </c>
      <c r="AC169" s="13">
        <v>90</v>
      </c>
      <c r="AD169" s="13">
        <f t="shared" si="310"/>
        <v>48</v>
      </c>
      <c r="AE169" s="13">
        <f t="shared" si="311"/>
        <v>1800</v>
      </c>
      <c r="AG169" s="28" t="str">
        <f>"6x750ml C"</f>
        <v>6x750ml C</v>
      </c>
    </row>
    <row r="170" spans="1:33" x14ac:dyDescent="0.25">
      <c r="A170" s="10" t="e">
        <f>IF(#REF!=0,"Hide","Show")</f>
        <v>#REF!</v>
      </c>
      <c r="B170" s="32" t="s">
        <v>71</v>
      </c>
      <c r="C170" s="33" t="s">
        <v>92</v>
      </c>
      <c r="D170" s="34">
        <v>6</v>
      </c>
      <c r="E170" s="34">
        <v>750</v>
      </c>
      <c r="F170" s="34" t="s">
        <v>86</v>
      </c>
      <c r="G170" s="34" t="s">
        <v>77</v>
      </c>
      <c r="H170" s="35" t="s">
        <v>83</v>
      </c>
      <c r="I170" s="35" t="s">
        <v>76</v>
      </c>
      <c r="J170" s="13" t="s">
        <v>75</v>
      </c>
      <c r="K170" s="13" t="s">
        <v>34</v>
      </c>
      <c r="L170" s="13" t="s">
        <v>34</v>
      </c>
      <c r="M170" s="13" t="s">
        <v>34</v>
      </c>
      <c r="N170" s="9">
        <v>13.5</v>
      </c>
      <c r="O170" s="13" t="str">
        <f t="shared" si="282"/>
        <v/>
      </c>
      <c r="P170" s="13" t="str">
        <f t="shared" si="283"/>
        <v/>
      </c>
      <c r="Q170" s="36" t="s">
        <v>91</v>
      </c>
      <c r="R170" s="36" t="s">
        <v>22</v>
      </c>
      <c r="S170" s="22">
        <v>0</v>
      </c>
      <c r="T170" s="22">
        <v>0</v>
      </c>
      <c r="U170" s="22">
        <v>3.33</v>
      </c>
      <c r="V170" s="22">
        <v>13</v>
      </c>
      <c r="W170" s="22">
        <v>10</v>
      </c>
      <c r="X170" s="22">
        <v>8</v>
      </c>
      <c r="Y170" s="13">
        <v>20</v>
      </c>
      <c r="Z170" s="22">
        <f t="shared" si="284"/>
        <v>0.60185185185185186</v>
      </c>
      <c r="AA170" s="13">
        <v>15</v>
      </c>
      <c r="AB170" s="13">
        <v>6</v>
      </c>
      <c r="AC170" s="13">
        <v>90</v>
      </c>
      <c r="AD170" s="13">
        <f t="shared" si="285"/>
        <v>48</v>
      </c>
      <c r="AE170" s="13">
        <f t="shared" si="286"/>
        <v>1800</v>
      </c>
      <c r="AG170" s="28" t="s">
        <v>73</v>
      </c>
    </row>
    <row r="171" spans="1:33" x14ac:dyDescent="0.25">
      <c r="A171" s="10" t="e">
        <f>IF(#REF!=0,"Hide","Show")</f>
        <v>#REF!</v>
      </c>
      <c r="B171" s="32" t="s">
        <v>71</v>
      </c>
      <c r="C171" s="33" t="s">
        <v>92</v>
      </c>
      <c r="D171" s="34">
        <v>6</v>
      </c>
      <c r="E171" s="34">
        <v>750</v>
      </c>
      <c r="F171" s="34" t="s">
        <v>87</v>
      </c>
      <c r="G171" s="34" t="s">
        <v>77</v>
      </c>
      <c r="H171" s="35" t="s">
        <v>83</v>
      </c>
      <c r="I171" s="35" t="s">
        <v>76</v>
      </c>
      <c r="J171" s="13" t="s">
        <v>75</v>
      </c>
      <c r="K171" s="13" t="s">
        <v>34</v>
      </c>
      <c r="L171" s="13" t="s">
        <v>34</v>
      </c>
      <c r="M171" s="13" t="s">
        <v>34</v>
      </c>
      <c r="N171" s="9">
        <v>13.5</v>
      </c>
      <c r="O171" s="13" t="str">
        <f t="shared" ref="O171" si="312">IF(LEN(Q171)=12,"UPC",IF(LEN(Q171)&gt;12,"EAN",""))</f>
        <v/>
      </c>
      <c r="P171" s="13" t="str">
        <f t="shared" ref="P171" si="313">IF(ISNUMBER(SEARCH("Gift",AG171)),"Gift Box","")</f>
        <v/>
      </c>
      <c r="Q171" s="36" t="s">
        <v>91</v>
      </c>
      <c r="R171" s="36" t="s">
        <v>22</v>
      </c>
      <c r="S171" s="22">
        <v>0</v>
      </c>
      <c r="T171" s="22">
        <v>0</v>
      </c>
      <c r="U171" s="22">
        <v>3.33</v>
      </c>
      <c r="V171" s="22">
        <v>13</v>
      </c>
      <c r="W171" s="22">
        <v>10</v>
      </c>
      <c r="X171" s="22">
        <v>8</v>
      </c>
      <c r="Y171" s="13">
        <v>20</v>
      </c>
      <c r="Z171" s="22">
        <f t="shared" ref="Z171" si="314">IF(V171&gt;0,(V171*W171*X171)/1728,"")</f>
        <v>0.60185185185185186</v>
      </c>
      <c r="AA171" s="13">
        <v>15</v>
      </c>
      <c r="AB171" s="13">
        <v>6</v>
      </c>
      <c r="AC171" s="13">
        <v>90</v>
      </c>
      <c r="AD171" s="13">
        <f t="shared" ref="AD171" si="315">IF(AB171&gt;0,AB171*X171,"")</f>
        <v>48</v>
      </c>
      <c r="AE171" s="13">
        <f t="shared" ref="AE171" si="316">IF(Y171&gt;0,Y171*(AA171*AB171),"")</f>
        <v>1800</v>
      </c>
      <c r="AG171" s="28" t="s">
        <v>73</v>
      </c>
    </row>
    <row r="172" spans="1:33" x14ac:dyDescent="0.25">
      <c r="A172" s="10" t="e">
        <f>IF(#REF!=0,"Hide","Show")</f>
        <v>#REF!</v>
      </c>
      <c r="B172" s="32" t="str">
        <f>"Lucien Le Moine"</f>
        <v>Lucien Le Moine</v>
      </c>
      <c r="C172" s="33" t="str">
        <f>"Nuits-St.-Georges Clos des Argillieres"</f>
        <v>Nuits-St.-Georges Clos des Argillieres</v>
      </c>
      <c r="D172" s="34">
        <v>6</v>
      </c>
      <c r="E172" s="34">
        <v>750</v>
      </c>
      <c r="F172" s="34" t="str">
        <f>"2011"</f>
        <v>2011</v>
      </c>
      <c r="G172" s="34" t="str">
        <f>"Red"</f>
        <v>Red</v>
      </c>
      <c r="H172" s="35" t="str">
        <f>"NUITS-SAINT-GEORGES"</f>
        <v>NUITS-SAINT-GEORGES</v>
      </c>
      <c r="I172" s="35" t="str">
        <f>"PINOT NOIR"</f>
        <v>PINOT NOIR</v>
      </c>
      <c r="J172" s="13" t="s">
        <v>75</v>
      </c>
      <c r="K172" s="13" t="s">
        <v>34</v>
      </c>
      <c r="L172" s="13" t="s">
        <v>34</v>
      </c>
      <c r="M172" s="13" t="s">
        <v>34</v>
      </c>
      <c r="N172" s="9">
        <v>13.5</v>
      </c>
      <c r="O172" s="13" t="str">
        <f t="shared" si="282"/>
        <v/>
      </c>
      <c r="P172" s="13" t="str">
        <f t="shared" si="283"/>
        <v/>
      </c>
      <c r="Q172" s="36" t="str">
        <f>"NO UPC"</f>
        <v>NO UPC</v>
      </c>
      <c r="R172" s="36"/>
      <c r="S172" s="22">
        <v>0</v>
      </c>
      <c r="T172" s="22">
        <v>0</v>
      </c>
      <c r="U172" s="22">
        <v>3.33</v>
      </c>
      <c r="V172" s="22">
        <v>13</v>
      </c>
      <c r="W172" s="22">
        <v>10</v>
      </c>
      <c r="X172" s="22">
        <v>8</v>
      </c>
      <c r="Y172" s="13">
        <v>20</v>
      </c>
      <c r="Z172" s="22">
        <f t="shared" si="284"/>
        <v>0.60185185185185186</v>
      </c>
      <c r="AA172" s="13">
        <v>15</v>
      </c>
      <c r="AB172" s="13">
        <v>6</v>
      </c>
      <c r="AC172" s="13">
        <v>90</v>
      </c>
      <c r="AD172" s="13">
        <f t="shared" si="285"/>
        <v>48</v>
      </c>
      <c r="AE172" s="13">
        <f t="shared" si="286"/>
        <v>1800</v>
      </c>
      <c r="AG172" s="28" t="str">
        <f>"6x750ml C"</f>
        <v>6x750ml C</v>
      </c>
    </row>
    <row r="173" spans="1:33" x14ac:dyDescent="0.25">
      <c r="A173" s="10" t="e">
        <f>IF(#REF!=0,"Hide","Show")</f>
        <v>#REF!</v>
      </c>
      <c r="B173" s="32" t="str">
        <f>"Lucien Le Moine"</f>
        <v>Lucien Le Moine</v>
      </c>
      <c r="C173" s="33" t="str">
        <f>"Nuits-St.-Georges Clos des Argillieres"</f>
        <v>Nuits-St.-Georges Clos des Argillieres</v>
      </c>
      <c r="D173" s="34">
        <v>6</v>
      </c>
      <c r="E173" s="34">
        <v>750</v>
      </c>
      <c r="F173" s="34" t="str">
        <f>"2012"</f>
        <v>2012</v>
      </c>
      <c r="G173" s="34" t="str">
        <f>"Red"</f>
        <v>Red</v>
      </c>
      <c r="H173" s="35" t="str">
        <f>"NUITS-SAINT-GEORGES"</f>
        <v>NUITS-SAINT-GEORGES</v>
      </c>
      <c r="I173" s="35" t="str">
        <f>"PINOT NOIR"</f>
        <v>PINOT NOIR</v>
      </c>
      <c r="J173" s="13" t="s">
        <v>75</v>
      </c>
      <c r="K173" s="13" t="s">
        <v>34</v>
      </c>
      <c r="L173" s="13" t="s">
        <v>34</v>
      </c>
      <c r="M173" s="13" t="s">
        <v>34</v>
      </c>
      <c r="N173" s="9">
        <v>13</v>
      </c>
      <c r="O173" s="13" t="str">
        <f t="shared" ref="O173:O175" si="317">IF(LEN(Q173)=12,"UPC",IF(LEN(Q173)&gt;12,"EAN",""))</f>
        <v/>
      </c>
      <c r="P173" s="13" t="str">
        <f t="shared" ref="P173:P175" si="318">IF(ISNUMBER(SEARCH("Gift",AG173)),"Gift Box","")</f>
        <v/>
      </c>
      <c r="Q173" s="36" t="str">
        <f>"NO UPC"</f>
        <v>NO UPC</v>
      </c>
      <c r="R173" s="36"/>
      <c r="S173" s="22">
        <v>0</v>
      </c>
      <c r="T173" s="22">
        <v>0</v>
      </c>
      <c r="U173" s="22">
        <v>3.33</v>
      </c>
      <c r="V173" s="22">
        <v>13</v>
      </c>
      <c r="W173" s="22">
        <v>10</v>
      </c>
      <c r="X173" s="22">
        <v>8</v>
      </c>
      <c r="Y173" s="13">
        <v>20</v>
      </c>
      <c r="Z173" s="22">
        <f t="shared" ref="Z173:Z175" si="319">IF(V173&gt;0,(V173*W173*X173)/1728,"")</f>
        <v>0.60185185185185186</v>
      </c>
      <c r="AA173" s="13">
        <v>15</v>
      </c>
      <c r="AB173" s="13">
        <v>6</v>
      </c>
      <c r="AC173" s="13">
        <v>90</v>
      </c>
      <c r="AD173" s="13">
        <f t="shared" ref="AD173:AD175" si="320">IF(AB173&gt;0,AB173*X173,"")</f>
        <v>48</v>
      </c>
      <c r="AE173" s="13">
        <f t="shared" ref="AE173:AE175" si="321">IF(Y173&gt;0,Y173*(AA173*AB173),"")</f>
        <v>1800</v>
      </c>
      <c r="AG173" s="28" t="str">
        <f>"6x750ml C"</f>
        <v>6x750ml C</v>
      </c>
    </row>
    <row r="174" spans="1:33" x14ac:dyDescent="0.25">
      <c r="A174" s="10" t="e">
        <f>IF(#REF!=0,"Hide","Show")</f>
        <v>#REF!</v>
      </c>
      <c r="B174" s="32" t="str">
        <f>"Lucien Le Moine"</f>
        <v>Lucien Le Moine</v>
      </c>
      <c r="C174" s="33" t="str">
        <f>"Nuits-St.-Georges Clos des Argillieres"</f>
        <v>Nuits-St.-Georges Clos des Argillieres</v>
      </c>
      <c r="D174" s="34">
        <v>6</v>
      </c>
      <c r="E174" s="34">
        <v>750</v>
      </c>
      <c r="F174" s="34" t="str">
        <f>"2013"</f>
        <v>2013</v>
      </c>
      <c r="G174" s="34" t="str">
        <f>"Red"</f>
        <v>Red</v>
      </c>
      <c r="H174" s="35" t="str">
        <f>"NUITS-SAINT-GEORGES"</f>
        <v>NUITS-SAINT-GEORGES</v>
      </c>
      <c r="I174" s="35" t="str">
        <f>"PINOT NOIR"</f>
        <v>PINOT NOIR</v>
      </c>
      <c r="J174" s="13" t="s">
        <v>75</v>
      </c>
      <c r="K174" s="13" t="s">
        <v>34</v>
      </c>
      <c r="L174" s="13" t="s">
        <v>34</v>
      </c>
      <c r="M174" s="13" t="s">
        <v>34</v>
      </c>
      <c r="N174" s="9">
        <v>13.5</v>
      </c>
      <c r="O174" s="13" t="str">
        <f t="shared" si="317"/>
        <v/>
      </c>
      <c r="P174" s="13" t="str">
        <f t="shared" si="318"/>
        <v/>
      </c>
      <c r="Q174" s="36" t="str">
        <f>"NO UPC"</f>
        <v>NO UPC</v>
      </c>
      <c r="R174" s="36"/>
      <c r="S174" s="22">
        <v>0</v>
      </c>
      <c r="T174" s="22">
        <v>0</v>
      </c>
      <c r="U174" s="22">
        <v>3.33</v>
      </c>
      <c r="V174" s="22">
        <v>13</v>
      </c>
      <c r="W174" s="22">
        <v>10</v>
      </c>
      <c r="X174" s="22">
        <v>8</v>
      </c>
      <c r="Y174" s="13">
        <v>20</v>
      </c>
      <c r="Z174" s="22">
        <f t="shared" si="319"/>
        <v>0.60185185185185186</v>
      </c>
      <c r="AA174" s="13">
        <v>15</v>
      </c>
      <c r="AB174" s="13">
        <v>6</v>
      </c>
      <c r="AC174" s="13">
        <v>90</v>
      </c>
      <c r="AD174" s="13">
        <f t="shared" si="320"/>
        <v>48</v>
      </c>
      <c r="AE174" s="13">
        <f t="shared" si="321"/>
        <v>1800</v>
      </c>
      <c r="AG174" s="28" t="str">
        <f>"6x750ml C"</f>
        <v>6x750ml C</v>
      </c>
    </row>
    <row r="175" spans="1:33" x14ac:dyDescent="0.25">
      <c r="A175" s="10" t="e">
        <f>IF(#REF!=0,"Hide","Show")</f>
        <v>#REF!</v>
      </c>
      <c r="B175" s="32" t="str">
        <f>"Lucien Le Moine"</f>
        <v>Lucien Le Moine</v>
      </c>
      <c r="C175" s="33" t="str">
        <f>"Nuits-St.-Georges Clos des Argillieres"</f>
        <v>Nuits-St.-Georges Clos des Argillieres</v>
      </c>
      <c r="D175" s="34">
        <v>6</v>
      </c>
      <c r="E175" s="34">
        <v>750</v>
      </c>
      <c r="F175" s="34" t="str">
        <f>"2014"</f>
        <v>2014</v>
      </c>
      <c r="G175" s="34" t="str">
        <f>"Red"</f>
        <v>Red</v>
      </c>
      <c r="H175" s="35" t="str">
        <f>"NUITS-SAINT-GEORGES"</f>
        <v>NUITS-SAINT-GEORGES</v>
      </c>
      <c r="I175" s="35" t="str">
        <f>"PINOT NOIR"</f>
        <v>PINOT NOIR</v>
      </c>
      <c r="J175" s="13" t="s">
        <v>75</v>
      </c>
      <c r="K175" s="13" t="s">
        <v>34</v>
      </c>
      <c r="L175" s="13" t="s">
        <v>34</v>
      </c>
      <c r="M175" s="13" t="s">
        <v>34</v>
      </c>
      <c r="N175" s="9">
        <v>13.5</v>
      </c>
      <c r="O175" s="13" t="str">
        <f t="shared" si="317"/>
        <v/>
      </c>
      <c r="P175" s="13" t="str">
        <f t="shared" si="318"/>
        <v/>
      </c>
      <c r="Q175" s="36" t="str">
        <f>"NO UPC"</f>
        <v>NO UPC</v>
      </c>
      <c r="R175" s="36"/>
      <c r="S175" s="22">
        <v>0</v>
      </c>
      <c r="T175" s="22">
        <v>0</v>
      </c>
      <c r="U175" s="22">
        <v>3.33</v>
      </c>
      <c r="V175" s="22">
        <v>13</v>
      </c>
      <c r="W175" s="22">
        <v>10</v>
      </c>
      <c r="X175" s="22">
        <v>8</v>
      </c>
      <c r="Y175" s="13">
        <v>20</v>
      </c>
      <c r="Z175" s="22">
        <f t="shared" si="319"/>
        <v>0.60185185185185186</v>
      </c>
      <c r="AA175" s="13">
        <v>15</v>
      </c>
      <c r="AB175" s="13">
        <v>6</v>
      </c>
      <c r="AC175" s="13">
        <v>90</v>
      </c>
      <c r="AD175" s="13">
        <f t="shared" si="320"/>
        <v>48</v>
      </c>
      <c r="AE175" s="13">
        <f t="shared" si="321"/>
        <v>1800</v>
      </c>
      <c r="AG175" s="28" t="str">
        <f>"6x750ml C"</f>
        <v>6x750ml C</v>
      </c>
    </row>
    <row r="176" spans="1:33" x14ac:dyDescent="0.25">
      <c r="A176" s="10" t="e">
        <f>IF(#REF!=0,"Hide","Show")</f>
        <v>#REF!</v>
      </c>
      <c r="B176" s="32" t="s">
        <v>71</v>
      </c>
      <c r="C176" s="33" t="s">
        <v>78</v>
      </c>
      <c r="D176" s="34">
        <v>6</v>
      </c>
      <c r="E176" s="34">
        <v>750</v>
      </c>
      <c r="F176" s="34" t="s">
        <v>86</v>
      </c>
      <c r="G176" s="34" t="s">
        <v>77</v>
      </c>
      <c r="H176" s="35" t="s">
        <v>83</v>
      </c>
      <c r="I176" s="35" t="s">
        <v>76</v>
      </c>
      <c r="J176" s="13" t="s">
        <v>75</v>
      </c>
      <c r="K176" s="13" t="s">
        <v>34</v>
      </c>
      <c r="L176" s="13" t="s">
        <v>34</v>
      </c>
      <c r="M176" s="13" t="s">
        <v>34</v>
      </c>
      <c r="N176" s="9">
        <v>13.5</v>
      </c>
      <c r="O176" s="13" t="str">
        <f t="shared" si="282"/>
        <v/>
      </c>
      <c r="P176" s="13" t="str">
        <f t="shared" si="283"/>
        <v/>
      </c>
      <c r="Q176" s="36" t="s">
        <v>91</v>
      </c>
      <c r="R176" s="36" t="s">
        <v>22</v>
      </c>
      <c r="S176" s="22">
        <v>0</v>
      </c>
      <c r="T176" s="22">
        <v>0</v>
      </c>
      <c r="U176" s="22">
        <v>3.33</v>
      </c>
      <c r="V176" s="22">
        <v>13</v>
      </c>
      <c r="W176" s="22">
        <v>10</v>
      </c>
      <c r="X176" s="22">
        <v>8</v>
      </c>
      <c r="Y176" s="13">
        <v>20</v>
      </c>
      <c r="Z176" s="22">
        <f t="shared" si="284"/>
        <v>0.60185185185185186</v>
      </c>
      <c r="AA176" s="13">
        <v>15</v>
      </c>
      <c r="AB176" s="13">
        <v>6</v>
      </c>
      <c r="AC176" s="13">
        <v>90</v>
      </c>
      <c r="AD176" s="13">
        <f t="shared" si="285"/>
        <v>48</v>
      </c>
      <c r="AE176" s="13">
        <f t="shared" si="286"/>
        <v>1800</v>
      </c>
      <c r="AG176" s="28" t="s">
        <v>73</v>
      </c>
    </row>
    <row r="177" spans="1:33" x14ac:dyDescent="0.25">
      <c r="A177" s="10" t="e">
        <f>IF(#REF!=0,"Hide","Show")</f>
        <v>#REF!</v>
      </c>
      <c r="B177" s="32" t="s">
        <v>71</v>
      </c>
      <c r="C177" s="33" t="s">
        <v>78</v>
      </c>
      <c r="D177" s="34">
        <v>6</v>
      </c>
      <c r="E177" s="34">
        <v>750</v>
      </c>
      <c r="F177" s="34" t="s">
        <v>87</v>
      </c>
      <c r="G177" s="34" t="s">
        <v>77</v>
      </c>
      <c r="H177" s="35" t="s">
        <v>83</v>
      </c>
      <c r="I177" s="35" t="s">
        <v>76</v>
      </c>
      <c r="J177" s="13" t="s">
        <v>75</v>
      </c>
      <c r="K177" s="13" t="s">
        <v>34</v>
      </c>
      <c r="L177" s="13" t="s">
        <v>34</v>
      </c>
      <c r="M177" s="13" t="s">
        <v>34</v>
      </c>
      <c r="N177" s="9">
        <v>13.5</v>
      </c>
      <c r="O177" s="13" t="str">
        <f t="shared" ref="O177" si="322">IF(LEN(Q177)=12,"UPC",IF(LEN(Q177)&gt;12,"EAN",""))</f>
        <v/>
      </c>
      <c r="P177" s="13" t="str">
        <f t="shared" ref="P177" si="323">IF(ISNUMBER(SEARCH("Gift",AG177)),"Gift Box","")</f>
        <v/>
      </c>
      <c r="Q177" s="36" t="s">
        <v>91</v>
      </c>
      <c r="R177" s="36" t="s">
        <v>22</v>
      </c>
      <c r="S177" s="22">
        <v>0</v>
      </c>
      <c r="T177" s="22">
        <v>0</v>
      </c>
      <c r="U177" s="22">
        <v>3.33</v>
      </c>
      <c r="V177" s="22">
        <v>13</v>
      </c>
      <c r="W177" s="22">
        <v>10</v>
      </c>
      <c r="X177" s="22">
        <v>8</v>
      </c>
      <c r="Y177" s="13">
        <v>20</v>
      </c>
      <c r="Z177" s="22">
        <f t="shared" ref="Z177" si="324">IF(V177&gt;0,(V177*W177*X177)/1728,"")</f>
        <v>0.60185185185185186</v>
      </c>
      <c r="AA177" s="13">
        <v>15</v>
      </c>
      <c r="AB177" s="13">
        <v>6</v>
      </c>
      <c r="AC177" s="13">
        <v>90</v>
      </c>
      <c r="AD177" s="13">
        <f t="shared" ref="AD177" si="325">IF(AB177&gt;0,AB177*X177,"")</f>
        <v>48</v>
      </c>
      <c r="AE177" s="13">
        <f t="shared" ref="AE177" si="326">IF(Y177&gt;0,Y177*(AA177*AB177),"")</f>
        <v>1800</v>
      </c>
      <c r="AG177" s="28" t="s">
        <v>73</v>
      </c>
    </row>
    <row r="178" spans="1:33" x14ac:dyDescent="0.25">
      <c r="A178" s="10" t="e">
        <f>IF(#REF!=0,"Hide","Show")</f>
        <v>#REF!</v>
      </c>
      <c r="B178" s="32" t="s">
        <v>71</v>
      </c>
      <c r="C178" s="33" t="s">
        <v>79</v>
      </c>
      <c r="D178" s="34">
        <v>6</v>
      </c>
      <c r="E178" s="34">
        <v>750</v>
      </c>
      <c r="F178" s="34" t="s">
        <v>86</v>
      </c>
      <c r="G178" s="34" t="s">
        <v>77</v>
      </c>
      <c r="H178" s="35" t="s">
        <v>84</v>
      </c>
      <c r="I178" s="35" t="s">
        <v>76</v>
      </c>
      <c r="J178" s="13" t="s">
        <v>75</v>
      </c>
      <c r="K178" s="13" t="s">
        <v>34</v>
      </c>
      <c r="L178" s="13" t="s">
        <v>34</v>
      </c>
      <c r="M178" s="13" t="s">
        <v>34</v>
      </c>
      <c r="N178" s="9">
        <v>13.5</v>
      </c>
      <c r="O178" s="13" t="str">
        <f t="shared" si="282"/>
        <v/>
      </c>
      <c r="P178" s="13" t="str">
        <f t="shared" si="283"/>
        <v/>
      </c>
      <c r="Q178" s="36" t="s">
        <v>91</v>
      </c>
      <c r="R178" s="36" t="s">
        <v>22</v>
      </c>
      <c r="S178" s="22">
        <v>0</v>
      </c>
      <c r="T178" s="22">
        <v>0</v>
      </c>
      <c r="U178" s="22">
        <v>3.33</v>
      </c>
      <c r="V178" s="22">
        <v>13</v>
      </c>
      <c r="W178" s="22">
        <v>10</v>
      </c>
      <c r="X178" s="22">
        <v>8</v>
      </c>
      <c r="Y178" s="13">
        <v>20</v>
      </c>
      <c r="Z178" s="22">
        <f t="shared" si="284"/>
        <v>0.60185185185185186</v>
      </c>
      <c r="AA178" s="13">
        <v>15</v>
      </c>
      <c r="AB178" s="13">
        <v>6</v>
      </c>
      <c r="AC178" s="13">
        <v>90</v>
      </c>
      <c r="AD178" s="13">
        <f t="shared" si="285"/>
        <v>48</v>
      </c>
      <c r="AE178" s="13">
        <f t="shared" si="286"/>
        <v>1800</v>
      </c>
      <c r="AG178" s="28" t="s">
        <v>73</v>
      </c>
    </row>
    <row r="179" spans="1:33" x14ac:dyDescent="0.25">
      <c r="A179" s="10" t="e">
        <f>IF(#REF!=0,"Hide","Show")</f>
        <v>#REF!</v>
      </c>
      <c r="B179" s="32" t="s">
        <v>71</v>
      </c>
      <c r="C179" s="33" t="s">
        <v>80</v>
      </c>
      <c r="D179" s="34">
        <v>6</v>
      </c>
      <c r="E179" s="34">
        <v>750</v>
      </c>
      <c r="F179" s="34" t="s">
        <v>87</v>
      </c>
      <c r="G179" s="34" t="s">
        <v>77</v>
      </c>
      <c r="H179" s="35" t="s">
        <v>84</v>
      </c>
      <c r="I179" s="35" t="s">
        <v>76</v>
      </c>
      <c r="J179" s="13" t="s">
        <v>75</v>
      </c>
      <c r="K179" s="13" t="s">
        <v>34</v>
      </c>
      <c r="L179" s="13" t="s">
        <v>34</v>
      </c>
      <c r="M179" s="13" t="s">
        <v>34</v>
      </c>
      <c r="N179" s="9">
        <v>13</v>
      </c>
      <c r="O179" s="13" t="str">
        <f t="shared" si="282"/>
        <v/>
      </c>
      <c r="P179" s="13" t="str">
        <f t="shared" si="283"/>
        <v/>
      </c>
      <c r="Q179" s="36" t="s">
        <v>91</v>
      </c>
      <c r="R179" s="36" t="s">
        <v>22</v>
      </c>
      <c r="S179" s="22">
        <v>0</v>
      </c>
      <c r="T179" s="22">
        <v>0</v>
      </c>
      <c r="U179" s="22">
        <v>3.33</v>
      </c>
      <c r="V179" s="22">
        <v>13</v>
      </c>
      <c r="W179" s="22">
        <v>10</v>
      </c>
      <c r="X179" s="22">
        <v>8</v>
      </c>
      <c r="Y179" s="13">
        <v>20</v>
      </c>
      <c r="Z179" s="22">
        <f t="shared" si="284"/>
        <v>0.60185185185185186</v>
      </c>
      <c r="AA179" s="13">
        <v>15</v>
      </c>
      <c r="AB179" s="13">
        <v>6</v>
      </c>
      <c r="AC179" s="13">
        <v>90</v>
      </c>
      <c r="AD179" s="13">
        <f t="shared" si="285"/>
        <v>48</v>
      </c>
      <c r="AE179" s="13">
        <f t="shared" si="286"/>
        <v>1800</v>
      </c>
      <c r="AG179" s="28" t="s">
        <v>73</v>
      </c>
    </row>
    <row r="180" spans="1:33" ht="6" customHeight="1" x14ac:dyDescent="0.25">
      <c r="B180" s="15"/>
      <c r="C180" s="12"/>
      <c r="D180" s="12"/>
      <c r="E180" s="12"/>
      <c r="F180" s="19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24"/>
      <c r="T180" s="24"/>
      <c r="U180" s="24"/>
      <c r="V180" s="24"/>
      <c r="W180" s="24"/>
      <c r="X180" s="24"/>
      <c r="Y180" s="12"/>
      <c r="Z180" s="12"/>
      <c r="AA180" s="12"/>
      <c r="AB180" s="12"/>
      <c r="AC180" s="12"/>
      <c r="AD180" s="12"/>
      <c r="AE180" s="12"/>
      <c r="AG180" s="27"/>
    </row>
    <row r="181" spans="1:33" x14ac:dyDescent="0.25">
      <c r="B181" s="21" t="str">
        <f>"NUITS RED VILLAGE"</f>
        <v>NUITS RED VILLAGE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23"/>
      <c r="T181" s="23"/>
      <c r="U181" s="23"/>
      <c r="V181" s="23"/>
      <c r="W181" s="23"/>
      <c r="X181" s="23"/>
      <c r="Y181" s="11"/>
      <c r="Z181" s="11"/>
      <c r="AA181" s="11"/>
      <c r="AB181" s="11"/>
      <c r="AC181" s="11"/>
      <c r="AD181" s="11"/>
      <c r="AE181" s="11"/>
      <c r="AG181" s="28"/>
    </row>
    <row r="182" spans="1:33" x14ac:dyDescent="0.25">
      <c r="A182" s="10" t="e">
        <f>IF(#REF!=0,"Hide","Show")</f>
        <v>#REF!</v>
      </c>
      <c r="B182" s="32" t="s">
        <v>71</v>
      </c>
      <c r="C182" s="33" t="s">
        <v>81</v>
      </c>
      <c r="D182" s="34">
        <v>6</v>
      </c>
      <c r="E182" s="34">
        <v>750</v>
      </c>
      <c r="F182" s="34" t="s">
        <v>88</v>
      </c>
      <c r="G182" s="34" t="s">
        <v>77</v>
      </c>
      <c r="H182" s="35" t="s">
        <v>84</v>
      </c>
      <c r="I182" s="35" t="s">
        <v>76</v>
      </c>
      <c r="J182" s="13" t="s">
        <v>75</v>
      </c>
      <c r="K182" s="13" t="s">
        <v>34</v>
      </c>
      <c r="L182" s="13" t="s">
        <v>34</v>
      </c>
      <c r="M182" s="13" t="s">
        <v>34</v>
      </c>
      <c r="N182" s="9">
        <v>13.5</v>
      </c>
      <c r="O182" s="13" t="str">
        <f t="shared" ref="O182" si="327">IF(LEN(Q182)=12,"UPC",IF(LEN(Q182)&gt;12,"EAN",""))</f>
        <v/>
      </c>
      <c r="P182" s="13" t="str">
        <f t="shared" ref="P182" si="328">IF(ISNUMBER(SEARCH("Gift",AG182)),"Gift Box","")</f>
        <v/>
      </c>
      <c r="Q182" s="36" t="s">
        <v>22</v>
      </c>
      <c r="R182" s="36" t="s">
        <v>22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13">
        <v>0</v>
      </c>
      <c r="Z182" s="22" t="str">
        <f t="shared" ref="Z182" si="329">IF(V182&gt;0,(V182*W182*X182)/1728,"")</f>
        <v/>
      </c>
      <c r="AA182" s="13">
        <v>15</v>
      </c>
      <c r="AB182" s="13">
        <v>6</v>
      </c>
      <c r="AC182" s="13">
        <v>0</v>
      </c>
      <c r="AD182" s="13">
        <f t="shared" ref="AD182" si="330">IF(AB182&gt;0,AB182*X182,"")</f>
        <v>0</v>
      </c>
      <c r="AE182" s="13" t="str">
        <f t="shared" ref="AE182" si="331">IF(Y182&gt;0,Y182*(AA182*AB182),"")</f>
        <v/>
      </c>
      <c r="AG182" s="28" t="s">
        <v>73</v>
      </c>
    </row>
    <row r="183" spans="1:33" ht="6" customHeight="1" x14ac:dyDescent="0.25">
      <c r="B183" s="15"/>
      <c r="C183" s="12"/>
      <c r="D183" s="12"/>
      <c r="E183" s="12"/>
      <c r="F183" s="19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24"/>
      <c r="T183" s="24"/>
      <c r="U183" s="24"/>
      <c r="V183" s="24"/>
      <c r="W183" s="24"/>
      <c r="X183" s="24"/>
      <c r="Y183" s="12"/>
      <c r="Z183" s="12"/>
      <c r="AA183" s="12"/>
      <c r="AB183" s="12"/>
      <c r="AC183" s="12"/>
      <c r="AD183" s="12"/>
      <c r="AE183" s="12"/>
      <c r="AG183" s="27"/>
    </row>
    <row r="184" spans="1:33" x14ac:dyDescent="0.25">
      <c r="B184" s="21" t="str">
        <f>"OTHER"</f>
        <v>OTHER</v>
      </c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23"/>
      <c r="T184" s="23"/>
      <c r="U184" s="23"/>
      <c r="V184" s="23"/>
      <c r="W184" s="23"/>
      <c r="X184" s="23"/>
      <c r="Y184" s="11"/>
      <c r="Z184" s="11"/>
      <c r="AA184" s="11"/>
      <c r="AB184" s="11"/>
      <c r="AC184" s="11"/>
      <c r="AD184" s="11"/>
      <c r="AE184" s="11"/>
      <c r="AG184" s="28"/>
    </row>
    <row r="185" spans="1:33" x14ac:dyDescent="0.25">
      <c r="A185" s="10" t="e">
        <f>IF(#REF!=0,"Hide","Show")</f>
        <v>#REF!</v>
      </c>
      <c r="B185" s="32" t="s">
        <v>71</v>
      </c>
      <c r="C185" s="33" t="s">
        <v>82</v>
      </c>
      <c r="D185" s="34">
        <v>3</v>
      </c>
      <c r="E185" s="34">
        <v>1500</v>
      </c>
      <c r="F185" s="34" t="s">
        <v>89</v>
      </c>
      <c r="G185" s="34" t="s">
        <v>77</v>
      </c>
      <c r="H185" s="35" t="s">
        <v>85</v>
      </c>
      <c r="I185" s="35" t="s">
        <v>76</v>
      </c>
      <c r="J185" s="13" t="s">
        <v>75</v>
      </c>
      <c r="K185" s="13" t="s">
        <v>34</v>
      </c>
      <c r="L185" s="13" t="s">
        <v>34</v>
      </c>
      <c r="M185" s="13" t="s">
        <v>34</v>
      </c>
      <c r="N185" s="9">
        <v>13.5</v>
      </c>
      <c r="O185" s="13" t="str">
        <f t="shared" ref="O185" si="332">IF(LEN(Q185)=12,"UPC",IF(LEN(Q185)&gt;12,"EAN",""))</f>
        <v/>
      </c>
      <c r="P185" s="13" t="str">
        <f t="shared" ref="P185" si="333">IF(ISNUMBER(SEARCH("Gift",AG185)),"Gift Box","")</f>
        <v/>
      </c>
      <c r="Q185" s="36" t="s">
        <v>22</v>
      </c>
      <c r="R185" s="36" t="s">
        <v>22</v>
      </c>
      <c r="S185" s="22">
        <v>0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13">
        <v>0</v>
      </c>
      <c r="Z185" s="22" t="str">
        <f t="shared" ref="Z185" si="334">IF(V185&gt;0,(V185*W185*X185)/1728,"")</f>
        <v/>
      </c>
      <c r="AA185" s="13">
        <v>15</v>
      </c>
      <c r="AB185" s="13">
        <v>6</v>
      </c>
      <c r="AC185" s="13">
        <v>0</v>
      </c>
      <c r="AD185" s="13">
        <f t="shared" ref="AD185" si="335">IF(AB185&gt;0,AB185*X185,"")</f>
        <v>0</v>
      </c>
      <c r="AE185" s="13" t="str">
        <f t="shared" ref="AE185" si="336">IF(Y185&gt;0,Y185*(AA185*AB185),"")</f>
        <v/>
      </c>
      <c r="AG185" s="28" t="s">
        <v>74</v>
      </c>
    </row>
    <row r="186" spans="1:33" x14ac:dyDescent="0.25">
      <c r="A186" s="10" t="e">
        <f>IF(#REF!=0,"Hide","Show")</f>
        <v>#REF!</v>
      </c>
      <c r="B186" s="32" t="s">
        <v>71</v>
      </c>
      <c r="C186" s="33" t="s">
        <v>90</v>
      </c>
      <c r="D186" s="34">
        <v>6</v>
      </c>
      <c r="E186" s="34">
        <v>750</v>
      </c>
      <c r="F186" s="34" t="s">
        <v>86</v>
      </c>
      <c r="G186" s="34" t="s">
        <v>77</v>
      </c>
      <c r="H186" s="35" t="s">
        <v>94</v>
      </c>
      <c r="I186" s="35" t="s">
        <v>76</v>
      </c>
      <c r="J186" s="13" t="s">
        <v>75</v>
      </c>
      <c r="K186" s="13" t="s">
        <v>34</v>
      </c>
      <c r="L186" s="13" t="s">
        <v>34</v>
      </c>
      <c r="M186" s="13" t="s">
        <v>34</v>
      </c>
      <c r="N186" s="9">
        <v>13.5</v>
      </c>
      <c r="O186" s="13" t="str">
        <f t="shared" ref="O186" si="337">IF(LEN(Q186)=12,"UPC",IF(LEN(Q186)&gt;12,"EAN",""))</f>
        <v/>
      </c>
      <c r="P186" s="13" t="str">
        <f t="shared" ref="P186" si="338">IF(ISNUMBER(SEARCH("Gift",AG186)),"Gift Box","")</f>
        <v/>
      </c>
      <c r="Q186" s="36" t="s">
        <v>22</v>
      </c>
      <c r="R186" s="36" t="s">
        <v>22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13">
        <v>0</v>
      </c>
      <c r="Z186" s="22" t="str">
        <f t="shared" ref="Z186" si="339">IF(V186&gt;0,(V186*W186*X186)/1728,"")</f>
        <v/>
      </c>
      <c r="AA186" s="13">
        <v>15</v>
      </c>
      <c r="AB186" s="13">
        <v>6</v>
      </c>
      <c r="AC186" s="13">
        <v>0</v>
      </c>
      <c r="AD186" s="13">
        <f t="shared" ref="AD186" si="340">IF(AB186&gt;0,AB186*X186,"")</f>
        <v>0</v>
      </c>
      <c r="AE186" s="13" t="str">
        <f t="shared" ref="AE186" si="341">IF(Y186&gt;0,Y186*(AA186*AB186),"")</f>
        <v/>
      </c>
      <c r="AG186" s="28" t="s">
        <v>73</v>
      </c>
    </row>
    <row r="187" spans="1:33" x14ac:dyDescent="0.25">
      <c r="A187" s="10" t="e">
        <f>IF(#REF!=0,"Hide","Show")</f>
        <v>#REF!</v>
      </c>
      <c r="B187" s="32" t="s">
        <v>71</v>
      </c>
      <c r="C187" s="33" t="s">
        <v>90</v>
      </c>
      <c r="D187" s="34">
        <v>6</v>
      </c>
      <c r="E187" s="34">
        <v>750</v>
      </c>
      <c r="F187" s="34" t="s">
        <v>93</v>
      </c>
      <c r="G187" s="34" t="s">
        <v>77</v>
      </c>
      <c r="H187" s="35" t="s">
        <v>94</v>
      </c>
      <c r="I187" s="35" t="s">
        <v>76</v>
      </c>
      <c r="J187" s="13" t="s">
        <v>75</v>
      </c>
      <c r="K187" s="13" t="s">
        <v>34</v>
      </c>
      <c r="L187" s="13" t="s">
        <v>34</v>
      </c>
      <c r="M187" s="13" t="s">
        <v>34</v>
      </c>
      <c r="N187" s="9">
        <v>13.5</v>
      </c>
      <c r="O187" s="13" t="str">
        <f t="shared" ref="O187" si="342">IF(LEN(Q187)=12,"UPC",IF(LEN(Q187)&gt;12,"EAN",""))</f>
        <v/>
      </c>
      <c r="P187" s="13" t="str">
        <f t="shared" ref="P187" si="343">IF(ISNUMBER(SEARCH("Gift",AG187)),"Gift Box","")</f>
        <v/>
      </c>
      <c r="Q187" s="36" t="s">
        <v>22</v>
      </c>
      <c r="R187" s="36" t="s">
        <v>22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13">
        <v>0</v>
      </c>
      <c r="Z187" s="22" t="str">
        <f t="shared" ref="Z187" si="344">IF(V187&gt;0,(V187*W187*X187)/1728,"")</f>
        <v/>
      </c>
      <c r="AA187" s="13">
        <v>15</v>
      </c>
      <c r="AB187" s="13">
        <v>6</v>
      </c>
      <c r="AC187" s="13">
        <v>0</v>
      </c>
      <c r="AD187" s="13">
        <f t="shared" ref="AD187" si="345">IF(AB187&gt;0,AB187*X187,"")</f>
        <v>0</v>
      </c>
      <c r="AE187" s="13" t="str">
        <f t="shared" ref="AE187" si="346">IF(Y187&gt;0,Y187*(AA187*AB187),"")</f>
        <v/>
      </c>
      <c r="AG187" s="28" t="s">
        <v>73</v>
      </c>
    </row>
    <row r="188" spans="1:33" ht="6" customHeight="1" x14ac:dyDescent="0.25">
      <c r="B188" s="15"/>
      <c r="C188" s="12"/>
      <c r="D188" s="12"/>
      <c r="E188" s="12"/>
      <c r="F188" s="19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24"/>
      <c r="T188" s="24"/>
      <c r="U188" s="24"/>
      <c r="V188" s="24"/>
      <c r="W188" s="24"/>
      <c r="X188" s="24"/>
      <c r="Y188" s="12"/>
      <c r="Z188" s="12"/>
      <c r="AA188" s="12"/>
      <c r="AB188" s="12"/>
      <c r="AC188" s="12"/>
      <c r="AD188" s="12"/>
      <c r="AE188" s="12"/>
      <c r="AG188" s="27"/>
    </row>
    <row r="189" spans="1:33" x14ac:dyDescent="0.25">
      <c r="B189" s="16"/>
      <c r="C189" s="20"/>
      <c r="D189" s="17"/>
      <c r="E189" s="20"/>
      <c r="F189" s="17"/>
      <c r="G189" s="17"/>
      <c r="H189" s="17"/>
      <c r="I189" s="17"/>
      <c r="J189" s="17"/>
      <c r="K189" s="17"/>
      <c r="L189" s="17"/>
      <c r="M189" s="17"/>
      <c r="N189" s="20"/>
      <c r="O189" s="20"/>
      <c r="P189" s="20"/>
      <c r="Q189" s="20"/>
      <c r="R189" s="20"/>
      <c r="S189" s="25"/>
      <c r="T189" s="25"/>
      <c r="U189" s="25"/>
      <c r="V189" s="25"/>
      <c r="W189" s="25"/>
      <c r="X189" s="25"/>
      <c r="Y189" s="20"/>
      <c r="Z189" s="20"/>
      <c r="AA189" s="20"/>
      <c r="AB189" s="20"/>
      <c r="AC189" s="20"/>
      <c r="AD189" s="20"/>
      <c r="AE189" s="20"/>
      <c r="AG189" s="27"/>
    </row>
    <row r="190" spans="1:33" ht="6" customHeight="1" x14ac:dyDescent="0.25">
      <c r="B190" s="14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23"/>
      <c r="T190" s="23"/>
      <c r="U190" s="23"/>
      <c r="V190" s="23"/>
      <c r="W190" s="23"/>
      <c r="X190" s="23"/>
      <c r="Y190" s="11"/>
      <c r="Z190" s="11"/>
      <c r="AA190" s="11"/>
      <c r="AB190" s="11"/>
      <c r="AC190" s="11"/>
      <c r="AD190" s="11"/>
      <c r="AE190" s="11"/>
      <c r="AG190" s="27"/>
    </row>
    <row r="191" spans="1:33" x14ac:dyDescent="0.25">
      <c r="B191" s="10"/>
      <c r="E191" s="10"/>
      <c r="N191" s="10"/>
      <c r="O191" s="10"/>
      <c r="P191" s="10"/>
      <c r="Q191" s="10"/>
      <c r="R191" s="10"/>
      <c r="S191" s="6"/>
      <c r="T191" s="6"/>
      <c r="U191" s="6"/>
      <c r="V191" s="6"/>
      <c r="W191" s="6"/>
      <c r="X191" s="6"/>
      <c r="Y191" s="10"/>
      <c r="Z191" s="10"/>
      <c r="AA191" s="10"/>
      <c r="AB191" s="10"/>
      <c r="AD191" s="10"/>
      <c r="AE191" s="10"/>
      <c r="AG191" s="27"/>
    </row>
    <row r="192" spans="1:33" x14ac:dyDescent="0.25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8"/>
      <c r="T192" s="8"/>
      <c r="U192" s="8"/>
      <c r="V192" s="8"/>
      <c r="W192" s="8"/>
      <c r="X192" s="8"/>
      <c r="Y192" s="18"/>
      <c r="Z192" s="18"/>
      <c r="AA192" s="18"/>
      <c r="AB192" s="18"/>
      <c r="AC192" s="18"/>
      <c r="AD192" s="18"/>
      <c r="AE192" s="18"/>
      <c r="AG192" s="27"/>
    </row>
    <row r="193" spans="5:33" x14ac:dyDescent="0.25">
      <c r="E193" s="10"/>
      <c r="N193" s="10"/>
      <c r="O193" s="10"/>
      <c r="P193" s="10"/>
      <c r="Q193" s="10"/>
      <c r="R193" s="10"/>
      <c r="S193" s="6"/>
      <c r="T193" s="6"/>
      <c r="U193" s="6"/>
      <c r="V193" s="6"/>
      <c r="W193" s="6"/>
      <c r="X193" s="6"/>
      <c r="Y193" s="10"/>
      <c r="Z193" s="10"/>
      <c r="AA193" s="10"/>
      <c r="AB193" s="10"/>
      <c r="AD193" s="10"/>
      <c r="AE193" s="10"/>
      <c r="AG193" s="27"/>
    </row>
    <row r="194" spans="5:33" x14ac:dyDescent="0.25">
      <c r="E194" s="10"/>
      <c r="N194" s="10"/>
      <c r="O194" s="10"/>
      <c r="P194" s="10"/>
      <c r="Q194" s="10"/>
      <c r="R194" s="10"/>
      <c r="S194" s="6"/>
      <c r="T194" s="6"/>
      <c r="U194" s="6"/>
      <c r="V194" s="6"/>
      <c r="W194" s="6"/>
      <c r="X194" s="6"/>
      <c r="Y194" s="10"/>
      <c r="Z194" s="10"/>
      <c r="AA194" s="10"/>
      <c r="AB194" s="10"/>
      <c r="AD194" s="10"/>
      <c r="AE194" s="10"/>
      <c r="AG194" s="27"/>
    </row>
    <row r="195" spans="5:33" x14ac:dyDescent="0.25">
      <c r="E195" s="10"/>
      <c r="N195" s="10"/>
      <c r="O195" s="10"/>
      <c r="P195" s="10"/>
      <c r="Q195" s="10"/>
      <c r="R195" s="10"/>
      <c r="S195" s="6"/>
      <c r="T195" s="6"/>
      <c r="U195" s="6"/>
      <c r="V195" s="6"/>
      <c r="W195" s="6"/>
      <c r="X195" s="6"/>
      <c r="Y195" s="10"/>
      <c r="Z195" s="10"/>
      <c r="AA195" s="10"/>
      <c r="AB195" s="10"/>
      <c r="AD195" s="10"/>
      <c r="AE195" s="10"/>
      <c r="AG195" s="27"/>
    </row>
    <row r="196" spans="5:33" x14ac:dyDescent="0.25">
      <c r="E196" s="10"/>
      <c r="N196" s="10"/>
      <c r="O196" s="10"/>
      <c r="P196" s="10"/>
      <c r="Q196" s="10"/>
      <c r="R196" s="10"/>
      <c r="S196" s="6"/>
      <c r="T196" s="6"/>
      <c r="U196" s="6"/>
      <c r="V196" s="6"/>
      <c r="W196" s="6"/>
      <c r="X196" s="6"/>
      <c r="Y196" s="10"/>
      <c r="Z196" s="10"/>
      <c r="AA196" s="10"/>
      <c r="AB196" s="10"/>
      <c r="AD196" s="10"/>
      <c r="AE196" s="10"/>
      <c r="AG196" s="27"/>
    </row>
    <row r="197" spans="5:33" x14ac:dyDescent="0.25">
      <c r="AG197" s="27"/>
    </row>
    <row r="198" spans="5:33" x14ac:dyDescent="0.25">
      <c r="AG198" s="27"/>
    </row>
    <row r="199" spans="5:33" x14ac:dyDescent="0.25">
      <c r="AG199" s="27"/>
    </row>
    <row r="200" spans="5:33" x14ac:dyDescent="0.25">
      <c r="AG200" s="27"/>
    </row>
    <row r="201" spans="5:33" x14ac:dyDescent="0.25">
      <c r="AG201" s="27"/>
    </row>
    <row r="202" spans="5:33" x14ac:dyDescent="0.25">
      <c r="AG202" s="27"/>
    </row>
    <row r="203" spans="5:33" x14ac:dyDescent="0.25">
      <c r="AG203" s="27"/>
    </row>
    <row r="204" spans="5:33" x14ac:dyDescent="0.25">
      <c r="AG204" s="27"/>
    </row>
    <row r="205" spans="5:33" x14ac:dyDescent="0.25">
      <c r="AG205" s="27"/>
    </row>
    <row r="206" spans="5:33" x14ac:dyDescent="0.25">
      <c r="AG206" s="27"/>
    </row>
    <row r="207" spans="5:33" x14ac:dyDescent="0.25">
      <c r="AG207" s="27"/>
    </row>
    <row r="208" spans="5:33" x14ac:dyDescent="0.25">
      <c r="AG208" s="27"/>
    </row>
    <row r="209" spans="33:33" x14ac:dyDescent="0.25">
      <c r="AG209" s="27"/>
    </row>
  </sheetData>
  <mergeCells count="1">
    <mergeCell ref="B1:C1"/>
  </mergeCells>
  <conditionalFormatting sqref="S5:Y5 AA5:AB5">
    <cfRule type="cellIs" dxfId="65" priority="66" operator="lessThan">
      <formula>0</formula>
    </cfRule>
  </conditionalFormatting>
  <conditionalFormatting sqref="S28:Y28 S64:Y64 S69:Y69 S72:Y72 S81:Y81 S113:Y113 S149:Y149 S182:Y182 S185:Y185">
    <cfRule type="cellIs" dxfId="64" priority="65" operator="lessThan">
      <formula>0</formula>
    </cfRule>
  </conditionalFormatting>
  <conditionalFormatting sqref="S9:Y9 S25:Y25 S22:Y22 S19:Y19 S16:Y16 S12:Y12">
    <cfRule type="cellIs" dxfId="63" priority="64" operator="lessThan">
      <formula>0</formula>
    </cfRule>
  </conditionalFormatting>
  <conditionalFormatting sqref="S186:Y186">
    <cfRule type="cellIs" dxfId="62" priority="63" operator="lessThan">
      <formula>0</formula>
    </cfRule>
  </conditionalFormatting>
  <conditionalFormatting sqref="S150:Y150 S178:Y179 S176:Y176 S172:Y172 S170:Y170 S162:Y167 S158:Y160 S156:Y156 S153:Y154">
    <cfRule type="cellIs" dxfId="61" priority="62" operator="lessThan">
      <formula>0</formula>
    </cfRule>
  </conditionalFormatting>
  <conditionalFormatting sqref="S115:Y115 S144:Y144 S141:Y142 S137:Y137 S135:Y135 S130:Y130 S126:Y127 S121:Y121 S117:Y117">
    <cfRule type="cellIs" dxfId="60" priority="61" operator="lessThan">
      <formula>0</formula>
    </cfRule>
  </conditionalFormatting>
  <conditionalFormatting sqref="S83:Y83 S108:Y108 S106:Y106 S103:Y103 S98:Y100 S95:Y95 S92:Y92 S88:Y88">
    <cfRule type="cellIs" dxfId="59" priority="60" operator="lessThan">
      <formula>0</formula>
    </cfRule>
  </conditionalFormatting>
  <conditionalFormatting sqref="S74:Y74 S78:Y78">
    <cfRule type="cellIs" dxfId="58" priority="59" operator="lessThan">
      <formula>0</formula>
    </cfRule>
  </conditionalFormatting>
  <conditionalFormatting sqref="S31:Y32 S60:Y61 S57:Y58 S53:Y53 S50:Y51 S48:Y48 S46:Y46 S44:Y44 S40:Y40 S36:Y36">
    <cfRule type="cellIs" dxfId="57" priority="58" operator="lessThan">
      <formula>0</formula>
    </cfRule>
  </conditionalFormatting>
  <conditionalFormatting sqref="S6:Y8">
    <cfRule type="cellIs" dxfId="56" priority="57" operator="lessThan">
      <formula>0</formula>
    </cfRule>
  </conditionalFormatting>
  <conditionalFormatting sqref="S23:Y24">
    <cfRule type="cellIs" dxfId="55" priority="56" operator="lessThan">
      <formula>0</formula>
    </cfRule>
  </conditionalFormatting>
  <conditionalFormatting sqref="S20:Y21">
    <cfRule type="cellIs" dxfId="54" priority="55" operator="lessThan">
      <formula>0</formula>
    </cfRule>
  </conditionalFormatting>
  <conditionalFormatting sqref="S17:Y18">
    <cfRule type="cellIs" dxfId="53" priority="54" operator="lessThan">
      <formula>0</formula>
    </cfRule>
  </conditionalFormatting>
  <conditionalFormatting sqref="S13:Y15">
    <cfRule type="cellIs" dxfId="52" priority="53" operator="lessThan">
      <formula>0</formula>
    </cfRule>
  </conditionalFormatting>
  <conditionalFormatting sqref="S10:Y11">
    <cfRule type="cellIs" dxfId="51" priority="52" operator="lessThan">
      <formula>0</formula>
    </cfRule>
  </conditionalFormatting>
  <conditionalFormatting sqref="S187:Y187">
    <cfRule type="cellIs" dxfId="50" priority="51" operator="lessThan">
      <formula>0</formula>
    </cfRule>
  </conditionalFormatting>
  <conditionalFormatting sqref="S177:Y177">
    <cfRule type="cellIs" dxfId="49" priority="50" operator="lessThan">
      <formula>0</formula>
    </cfRule>
  </conditionalFormatting>
  <conditionalFormatting sqref="S173:Y175">
    <cfRule type="cellIs" dxfId="48" priority="49" operator="lessThan">
      <formula>0</formula>
    </cfRule>
  </conditionalFormatting>
  <conditionalFormatting sqref="S171:Y171">
    <cfRule type="cellIs" dxfId="47" priority="48" operator="lessThan">
      <formula>0</formula>
    </cfRule>
  </conditionalFormatting>
  <conditionalFormatting sqref="S168:Y169">
    <cfRule type="cellIs" dxfId="46" priority="47" operator="lessThan">
      <formula>0</formula>
    </cfRule>
  </conditionalFormatting>
  <conditionalFormatting sqref="S161:Y161">
    <cfRule type="cellIs" dxfId="45" priority="46" operator="lessThan">
      <formula>0</formula>
    </cfRule>
  </conditionalFormatting>
  <conditionalFormatting sqref="S157:Y157">
    <cfRule type="cellIs" dxfId="44" priority="45" operator="lessThan">
      <formula>0</formula>
    </cfRule>
  </conditionalFormatting>
  <conditionalFormatting sqref="S155:Y155">
    <cfRule type="cellIs" dxfId="43" priority="44" operator="lessThan">
      <formula>0</formula>
    </cfRule>
  </conditionalFormatting>
  <conditionalFormatting sqref="S151:Y152">
    <cfRule type="cellIs" dxfId="42" priority="43" operator="lessThan">
      <formula>0</formula>
    </cfRule>
  </conditionalFormatting>
  <conditionalFormatting sqref="S114:Y114">
    <cfRule type="cellIs" dxfId="41" priority="42" operator="lessThan">
      <formula>0</formula>
    </cfRule>
  </conditionalFormatting>
  <conditionalFormatting sqref="S145:Y146">
    <cfRule type="cellIs" dxfId="40" priority="41" operator="lessThan">
      <formula>0</formula>
    </cfRule>
  </conditionalFormatting>
  <conditionalFormatting sqref="S143:Y143">
    <cfRule type="cellIs" dxfId="39" priority="40" operator="lessThan">
      <formula>0</formula>
    </cfRule>
  </conditionalFormatting>
  <conditionalFormatting sqref="S138:Y140">
    <cfRule type="cellIs" dxfId="38" priority="39" operator="lessThan">
      <formula>0</formula>
    </cfRule>
  </conditionalFormatting>
  <conditionalFormatting sqref="S136:Y136">
    <cfRule type="cellIs" dxfId="37" priority="38" operator="lessThan">
      <formula>0</formula>
    </cfRule>
  </conditionalFormatting>
  <conditionalFormatting sqref="S131:Y134">
    <cfRule type="cellIs" dxfId="36" priority="37" operator="lessThan">
      <formula>0</formula>
    </cfRule>
  </conditionalFormatting>
  <conditionalFormatting sqref="S128:Y129">
    <cfRule type="cellIs" dxfId="35" priority="36" operator="lessThan">
      <formula>0</formula>
    </cfRule>
  </conditionalFormatting>
  <conditionalFormatting sqref="S122:Y125">
    <cfRule type="cellIs" dxfId="34" priority="35" operator="lessThan">
      <formula>0</formula>
    </cfRule>
  </conditionalFormatting>
  <conditionalFormatting sqref="S118:Y120">
    <cfRule type="cellIs" dxfId="33" priority="34" operator="lessThan">
      <formula>0</formula>
    </cfRule>
  </conditionalFormatting>
  <conditionalFormatting sqref="S116:Y116">
    <cfRule type="cellIs" dxfId="32" priority="33" operator="lessThan">
      <formula>0</formula>
    </cfRule>
  </conditionalFormatting>
  <conditionalFormatting sqref="S82:Y82">
    <cfRule type="cellIs" dxfId="31" priority="32" operator="lessThan">
      <formula>0</formula>
    </cfRule>
  </conditionalFormatting>
  <conditionalFormatting sqref="S109:Y110">
    <cfRule type="cellIs" dxfId="30" priority="31" operator="lessThan">
      <formula>0</formula>
    </cfRule>
  </conditionalFormatting>
  <conditionalFormatting sqref="S107:Y107">
    <cfRule type="cellIs" dxfId="29" priority="30" operator="lessThan">
      <formula>0</formula>
    </cfRule>
  </conditionalFormatting>
  <conditionalFormatting sqref="S104:Y105">
    <cfRule type="cellIs" dxfId="28" priority="29" operator="lessThan">
      <formula>0</formula>
    </cfRule>
  </conditionalFormatting>
  <conditionalFormatting sqref="S101:Y102">
    <cfRule type="cellIs" dxfId="27" priority="28" operator="lessThan">
      <formula>0</formula>
    </cfRule>
  </conditionalFormatting>
  <conditionalFormatting sqref="S96:Y97">
    <cfRule type="cellIs" dxfId="26" priority="27" operator="lessThan">
      <formula>0</formula>
    </cfRule>
  </conditionalFormatting>
  <conditionalFormatting sqref="S93:Y94">
    <cfRule type="cellIs" dxfId="25" priority="26" operator="lessThan">
      <formula>0</formula>
    </cfRule>
  </conditionalFormatting>
  <conditionalFormatting sqref="S89:Y91">
    <cfRule type="cellIs" dxfId="24" priority="25" operator="lessThan">
      <formula>0</formula>
    </cfRule>
  </conditionalFormatting>
  <conditionalFormatting sqref="S84:Y87">
    <cfRule type="cellIs" dxfId="23" priority="24" operator="lessThan">
      <formula>0</formula>
    </cfRule>
  </conditionalFormatting>
  <conditionalFormatting sqref="S73:Y73">
    <cfRule type="cellIs" dxfId="22" priority="23" operator="lessThan">
      <formula>0</formula>
    </cfRule>
  </conditionalFormatting>
  <conditionalFormatting sqref="S75:Y77">
    <cfRule type="cellIs" dxfId="21" priority="22" operator="lessThan">
      <formula>0</formula>
    </cfRule>
  </conditionalFormatting>
  <conditionalFormatting sqref="S65:Y66">
    <cfRule type="cellIs" dxfId="20" priority="21" operator="lessThan">
      <formula>0</formula>
    </cfRule>
  </conditionalFormatting>
  <conditionalFormatting sqref="S29:Y30">
    <cfRule type="cellIs" dxfId="19" priority="20" operator="lessThan">
      <formula>0</formula>
    </cfRule>
  </conditionalFormatting>
  <conditionalFormatting sqref="S59:Y59">
    <cfRule type="cellIs" dxfId="18" priority="19" operator="lessThan">
      <formula>0</formula>
    </cfRule>
  </conditionalFormatting>
  <conditionalFormatting sqref="S54:Y56">
    <cfRule type="cellIs" dxfId="17" priority="18" operator="lessThan">
      <formula>0</formula>
    </cfRule>
  </conditionalFormatting>
  <conditionalFormatting sqref="S52:Y52">
    <cfRule type="cellIs" dxfId="16" priority="17" operator="lessThan">
      <formula>0</formula>
    </cfRule>
  </conditionalFormatting>
  <conditionalFormatting sqref="S49:Y49">
    <cfRule type="cellIs" dxfId="15" priority="16" operator="lessThan">
      <formula>0</formula>
    </cfRule>
  </conditionalFormatting>
  <conditionalFormatting sqref="S47:Y47">
    <cfRule type="cellIs" dxfId="14" priority="15" operator="lessThan">
      <formula>0</formula>
    </cfRule>
  </conditionalFormatting>
  <conditionalFormatting sqref="S45:Y45">
    <cfRule type="cellIs" dxfId="13" priority="14" operator="lessThan">
      <formula>0</formula>
    </cfRule>
  </conditionalFormatting>
  <conditionalFormatting sqref="S41:Y43">
    <cfRule type="cellIs" dxfId="12" priority="13" operator="lessThan">
      <formula>0</formula>
    </cfRule>
  </conditionalFormatting>
  <conditionalFormatting sqref="S37:Y39">
    <cfRule type="cellIs" dxfId="11" priority="12" operator="lessThan">
      <formula>0</formula>
    </cfRule>
  </conditionalFormatting>
  <conditionalFormatting sqref="S33:Y35">
    <cfRule type="cellIs" dxfId="10" priority="11" operator="lessThan">
      <formula>0</formula>
    </cfRule>
  </conditionalFormatting>
  <conditionalFormatting sqref="AA6:AB25">
    <cfRule type="cellIs" dxfId="9" priority="10" operator="lessThan">
      <formula>0</formula>
    </cfRule>
  </conditionalFormatting>
  <conditionalFormatting sqref="AA28:AB61">
    <cfRule type="cellIs" dxfId="8" priority="9" operator="lessThan">
      <formula>0</formula>
    </cfRule>
  </conditionalFormatting>
  <conditionalFormatting sqref="AA64:AB66">
    <cfRule type="cellIs" dxfId="7" priority="8" operator="lessThan">
      <formula>0</formula>
    </cfRule>
  </conditionalFormatting>
  <conditionalFormatting sqref="AA69:AB69">
    <cfRule type="cellIs" dxfId="6" priority="7" operator="lessThan">
      <formula>0</formula>
    </cfRule>
  </conditionalFormatting>
  <conditionalFormatting sqref="AA72:AB78">
    <cfRule type="cellIs" dxfId="5" priority="6" operator="lessThan">
      <formula>0</formula>
    </cfRule>
  </conditionalFormatting>
  <conditionalFormatting sqref="AA81:AB110">
    <cfRule type="cellIs" dxfId="4" priority="5" operator="lessThan">
      <formula>0</formula>
    </cfRule>
  </conditionalFormatting>
  <conditionalFormatting sqref="AA113:AB146">
    <cfRule type="cellIs" dxfId="3" priority="4" operator="lessThan">
      <formula>0</formula>
    </cfRule>
  </conditionalFormatting>
  <conditionalFormatting sqref="AA149:AB179">
    <cfRule type="cellIs" dxfId="2" priority="3" operator="lessThan">
      <formula>0</formula>
    </cfRule>
  </conditionalFormatting>
  <conditionalFormatting sqref="AA182:AB182">
    <cfRule type="cellIs" dxfId="1" priority="2" operator="lessThan">
      <formula>0</formula>
    </cfRule>
  </conditionalFormatting>
  <conditionalFormatting sqref="AA185:AB187">
    <cfRule type="cellIs" dxfId="0" priority="1" operator="lessThan">
      <formula>0</formula>
    </cfRule>
  </conditionalFormatting>
  <pageMargins left="0.25" right="0.25" top="0.5" bottom="0.5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B8EB-0EBC-4AD2-ADB3-09838DEA6592}">
  <dimension ref="A1:H39"/>
  <sheetViews>
    <sheetView workbookViewId="0">
      <selection activeCell="I8" sqref="I8"/>
    </sheetView>
  </sheetViews>
  <sheetFormatPr defaultRowHeight="15" x14ac:dyDescent="0.25"/>
  <cols>
    <col min="3" max="3" width="10" customWidth="1"/>
  </cols>
  <sheetData>
    <row r="1" spans="1:8" x14ac:dyDescent="0.25">
      <c r="A1" s="27"/>
      <c r="B1" s="37" t="s">
        <v>25</v>
      </c>
      <c r="C1" s="37" t="s">
        <v>26</v>
      </c>
      <c r="D1" s="37" t="s">
        <v>27</v>
      </c>
      <c r="E1" s="27"/>
      <c r="F1" s="27"/>
      <c r="G1" s="27"/>
      <c r="H1" s="27"/>
    </row>
    <row r="2" spans="1:8" x14ac:dyDescent="0.25">
      <c r="A2" s="27" t="s">
        <v>33</v>
      </c>
      <c r="B2" s="28" t="s">
        <v>34</v>
      </c>
      <c r="C2" s="28" t="s">
        <v>34</v>
      </c>
      <c r="D2" s="28" t="s">
        <v>34</v>
      </c>
      <c r="E2" s="27"/>
      <c r="F2" s="27"/>
      <c r="G2" s="27"/>
      <c r="H2" s="27"/>
    </row>
    <row r="3" spans="1:8" x14ac:dyDescent="0.25">
      <c r="A3" s="27" t="s">
        <v>35</v>
      </c>
      <c r="B3" s="28" t="s">
        <v>36</v>
      </c>
      <c r="C3" s="28" t="s">
        <v>34</v>
      </c>
      <c r="D3" s="28" t="s">
        <v>34</v>
      </c>
      <c r="E3" s="27"/>
      <c r="F3" s="27"/>
      <c r="G3" s="27"/>
      <c r="H3" s="27"/>
    </row>
    <row r="4" spans="1:8" x14ac:dyDescent="0.25">
      <c r="A4" s="27" t="s">
        <v>37</v>
      </c>
      <c r="B4" s="28" t="s">
        <v>34</v>
      </c>
      <c r="C4" s="28" t="s">
        <v>34</v>
      </c>
      <c r="D4" s="28" t="s">
        <v>34</v>
      </c>
      <c r="E4" s="27"/>
      <c r="F4" s="27"/>
      <c r="G4" s="27"/>
      <c r="H4" s="27"/>
    </row>
    <row r="5" spans="1:8" x14ac:dyDescent="0.25">
      <c r="A5" s="27" t="s">
        <v>38</v>
      </c>
      <c r="B5" s="28" t="s">
        <v>34</v>
      </c>
      <c r="C5" s="28" t="s">
        <v>36</v>
      </c>
      <c r="D5" s="28" t="s">
        <v>34</v>
      </c>
      <c r="E5" s="27"/>
      <c r="F5" s="27"/>
      <c r="G5" s="27"/>
      <c r="H5" s="27"/>
    </row>
    <row r="6" spans="1:8" x14ac:dyDescent="0.25">
      <c r="A6" s="27" t="s">
        <v>39</v>
      </c>
      <c r="B6" s="28" t="s">
        <v>36</v>
      </c>
      <c r="C6" s="28" t="s">
        <v>34</v>
      </c>
      <c r="D6" s="28" t="s">
        <v>34</v>
      </c>
      <c r="E6" s="27"/>
      <c r="F6" s="27"/>
      <c r="G6" s="27"/>
      <c r="H6" s="27"/>
    </row>
    <row r="7" spans="1:8" x14ac:dyDescent="0.25">
      <c r="A7" s="27" t="s">
        <v>40</v>
      </c>
      <c r="B7" s="28" t="s">
        <v>34</v>
      </c>
      <c r="C7" s="28" t="s">
        <v>36</v>
      </c>
      <c r="D7" s="28" t="s">
        <v>34</v>
      </c>
      <c r="E7" s="27"/>
      <c r="F7" s="27"/>
      <c r="G7" s="27"/>
      <c r="H7" s="27"/>
    </row>
    <row r="8" spans="1:8" x14ac:dyDescent="0.25">
      <c r="A8" s="27" t="s">
        <v>41</v>
      </c>
      <c r="B8" s="28" t="s">
        <v>34</v>
      </c>
      <c r="C8" s="28" t="s">
        <v>36</v>
      </c>
      <c r="D8" s="28" t="s">
        <v>34</v>
      </c>
      <c r="E8" s="27"/>
      <c r="F8" s="27"/>
      <c r="G8" s="27"/>
      <c r="H8" s="27"/>
    </row>
    <row r="9" spans="1:8" x14ac:dyDescent="0.25">
      <c r="A9" s="27" t="s">
        <v>42</v>
      </c>
      <c r="B9" s="28" t="s">
        <v>36</v>
      </c>
      <c r="C9" s="28" t="s">
        <v>34</v>
      </c>
      <c r="D9" s="28" t="s">
        <v>34</v>
      </c>
      <c r="E9" s="27"/>
      <c r="F9" s="27"/>
      <c r="G9" s="27"/>
      <c r="H9" s="27"/>
    </row>
    <row r="10" spans="1:8" x14ac:dyDescent="0.25">
      <c r="A10" s="27" t="s">
        <v>43</v>
      </c>
      <c r="B10" s="28" t="s">
        <v>34</v>
      </c>
      <c r="C10" s="28" t="s">
        <v>34</v>
      </c>
      <c r="D10" s="28" t="s">
        <v>34</v>
      </c>
      <c r="E10" s="27"/>
      <c r="F10" s="27"/>
      <c r="G10" s="27"/>
      <c r="H10" s="27"/>
    </row>
    <row r="11" spans="1:8" x14ac:dyDescent="0.25">
      <c r="A11" s="27" t="s">
        <v>44</v>
      </c>
      <c r="B11" s="28" t="s">
        <v>34</v>
      </c>
      <c r="C11" s="28" t="s">
        <v>36</v>
      </c>
      <c r="D11" s="28" t="s">
        <v>34</v>
      </c>
      <c r="E11" s="27"/>
      <c r="F11" s="27"/>
      <c r="G11" s="27"/>
      <c r="H11" s="27"/>
    </row>
    <row r="12" spans="1:8" x14ac:dyDescent="0.25">
      <c r="A12" s="27" t="s">
        <v>45</v>
      </c>
      <c r="B12" s="28" t="s">
        <v>36</v>
      </c>
      <c r="C12" s="28" t="s">
        <v>36</v>
      </c>
      <c r="D12" s="28" t="s">
        <v>34</v>
      </c>
      <c r="E12" s="27"/>
      <c r="F12" s="27"/>
      <c r="G12" s="27"/>
      <c r="H12" s="27"/>
    </row>
    <row r="13" spans="1:8" x14ac:dyDescent="0.25">
      <c r="A13" s="27" t="s">
        <v>46</v>
      </c>
      <c r="B13" s="28" t="s">
        <v>36</v>
      </c>
      <c r="C13" s="28" t="s">
        <v>34</v>
      </c>
      <c r="D13" s="28" t="s">
        <v>34</v>
      </c>
      <c r="E13" s="27"/>
      <c r="F13" s="27"/>
      <c r="G13" s="27"/>
      <c r="H13" s="27"/>
    </row>
    <row r="14" spans="1:8" x14ac:dyDescent="0.25">
      <c r="A14" s="27" t="s">
        <v>47</v>
      </c>
      <c r="B14" s="28" t="s">
        <v>34</v>
      </c>
      <c r="C14" s="28" t="s">
        <v>36</v>
      </c>
      <c r="D14" s="28" t="s">
        <v>34</v>
      </c>
      <c r="E14" s="27"/>
      <c r="F14" s="27"/>
      <c r="G14" s="27"/>
      <c r="H14" s="27"/>
    </row>
    <row r="15" spans="1:8" x14ac:dyDescent="0.25">
      <c r="A15" s="27" t="s">
        <v>48</v>
      </c>
      <c r="B15" s="28" t="s">
        <v>34</v>
      </c>
      <c r="C15" s="28" t="s">
        <v>36</v>
      </c>
      <c r="D15" s="28" t="s">
        <v>34</v>
      </c>
      <c r="E15" s="27"/>
      <c r="F15" s="27"/>
      <c r="G15" s="27"/>
      <c r="H15" s="27"/>
    </row>
    <row r="16" spans="1:8" x14ac:dyDescent="0.25">
      <c r="A16" s="27" t="s">
        <v>49</v>
      </c>
      <c r="B16" s="28" t="s">
        <v>34</v>
      </c>
      <c r="C16" s="28" t="s">
        <v>36</v>
      </c>
      <c r="D16" s="28" t="s">
        <v>34</v>
      </c>
      <c r="E16" s="27"/>
      <c r="F16" s="27"/>
      <c r="G16" s="27"/>
      <c r="H16" s="27"/>
    </row>
    <row r="17" spans="1:8" x14ac:dyDescent="0.25">
      <c r="A17" s="27" t="s">
        <v>50</v>
      </c>
      <c r="B17" s="28" t="s">
        <v>34</v>
      </c>
      <c r="C17" s="28" t="s">
        <v>36</v>
      </c>
      <c r="D17" s="28" t="s">
        <v>34</v>
      </c>
      <c r="E17" s="27"/>
      <c r="F17" s="27"/>
      <c r="G17" s="27"/>
      <c r="H17" s="27"/>
    </row>
    <row r="18" spans="1:8" x14ac:dyDescent="0.25">
      <c r="A18" s="27" t="s">
        <v>51</v>
      </c>
      <c r="B18" s="28" t="s">
        <v>36</v>
      </c>
      <c r="C18" s="28" t="s">
        <v>34</v>
      </c>
      <c r="D18" s="28" t="s">
        <v>36</v>
      </c>
      <c r="E18" s="27"/>
      <c r="F18" s="27"/>
      <c r="G18" s="27"/>
      <c r="H18" s="27"/>
    </row>
    <row r="19" spans="1:8" x14ac:dyDescent="0.25">
      <c r="A19" s="27" t="s">
        <v>52</v>
      </c>
      <c r="B19" s="28" t="s">
        <v>34</v>
      </c>
      <c r="C19" s="28" t="s">
        <v>36</v>
      </c>
      <c r="D19" s="28" t="s">
        <v>36</v>
      </c>
      <c r="E19" s="27"/>
      <c r="F19" s="27"/>
      <c r="G19" s="27"/>
      <c r="H19" s="27"/>
    </row>
    <row r="20" spans="1:8" x14ac:dyDescent="0.25">
      <c r="A20" s="27" t="s">
        <v>53</v>
      </c>
      <c r="B20" s="28" t="s">
        <v>34</v>
      </c>
      <c r="C20" s="28" t="s">
        <v>34</v>
      </c>
      <c r="D20" s="28" t="s">
        <v>34</v>
      </c>
      <c r="E20" s="27"/>
      <c r="F20" s="27"/>
      <c r="G20" s="27"/>
      <c r="H20" s="27"/>
    </row>
    <row r="21" spans="1:8" x14ac:dyDescent="0.25">
      <c r="A21" s="27" t="s">
        <v>54</v>
      </c>
      <c r="B21" s="28" t="s">
        <v>34</v>
      </c>
      <c r="C21" s="28" t="s">
        <v>36</v>
      </c>
      <c r="D21" s="28" t="s">
        <v>36</v>
      </c>
      <c r="E21" s="27"/>
      <c r="F21" s="27"/>
      <c r="G21" s="27"/>
      <c r="H21" s="27"/>
    </row>
    <row r="22" spans="1:8" x14ac:dyDescent="0.25">
      <c r="A22" s="27" t="s">
        <v>55</v>
      </c>
      <c r="B22" s="28" t="s">
        <v>34</v>
      </c>
      <c r="C22" s="28" t="s">
        <v>36</v>
      </c>
      <c r="D22" s="28" t="s">
        <v>34</v>
      </c>
      <c r="E22" s="27"/>
      <c r="F22" s="27"/>
      <c r="G22" s="27"/>
      <c r="H22" s="27"/>
    </row>
    <row r="23" spans="1:8" x14ac:dyDescent="0.25">
      <c r="A23" s="27" t="s">
        <v>56</v>
      </c>
      <c r="B23" s="28" t="s">
        <v>36</v>
      </c>
      <c r="C23" s="28" t="s">
        <v>34</v>
      </c>
      <c r="D23" s="28" t="s">
        <v>36</v>
      </c>
      <c r="E23" s="27"/>
      <c r="F23" s="27"/>
      <c r="G23" s="27"/>
      <c r="H23" s="27"/>
    </row>
    <row r="24" spans="1:8" x14ac:dyDescent="0.25">
      <c r="A24" s="27" t="s">
        <v>57</v>
      </c>
      <c r="B24" s="28" t="s">
        <v>34</v>
      </c>
      <c r="C24" s="28" t="s">
        <v>34</v>
      </c>
      <c r="D24" s="28" t="s">
        <v>34</v>
      </c>
      <c r="E24" s="27"/>
      <c r="F24" s="27"/>
      <c r="G24" s="27"/>
      <c r="H24" s="27"/>
    </row>
    <row r="25" spans="1:8" x14ac:dyDescent="0.25">
      <c r="A25" s="27" t="s">
        <v>58</v>
      </c>
      <c r="B25" s="28" t="s">
        <v>34</v>
      </c>
      <c r="C25" s="28" t="s">
        <v>36</v>
      </c>
      <c r="D25" s="28" t="s">
        <v>34</v>
      </c>
      <c r="E25" s="27"/>
      <c r="F25" s="27"/>
      <c r="G25" s="27"/>
      <c r="H25" s="27"/>
    </row>
    <row r="26" spans="1:8" x14ac:dyDescent="0.25">
      <c r="A26" s="27" t="s">
        <v>59</v>
      </c>
      <c r="B26" s="28" t="s">
        <v>34</v>
      </c>
      <c r="C26" s="28" t="s">
        <v>34</v>
      </c>
      <c r="D26" s="28" t="s">
        <v>34</v>
      </c>
      <c r="E26" s="27"/>
      <c r="F26" s="27"/>
      <c r="G26" s="27"/>
      <c r="H26" s="27"/>
    </row>
    <row r="27" spans="1:8" x14ac:dyDescent="0.25">
      <c r="A27" s="27" t="s">
        <v>60</v>
      </c>
      <c r="B27" s="28" t="s">
        <v>34</v>
      </c>
      <c r="C27" s="28" t="s">
        <v>36</v>
      </c>
      <c r="D27" s="28" t="s">
        <v>34</v>
      </c>
      <c r="E27" s="27"/>
      <c r="F27" s="27"/>
      <c r="G27" s="27"/>
      <c r="H27" s="27"/>
    </row>
    <row r="28" spans="1:8" x14ac:dyDescent="0.25">
      <c r="A28" s="27" t="s">
        <v>61</v>
      </c>
      <c r="B28" s="28" t="s">
        <v>34</v>
      </c>
      <c r="C28" s="28" t="s">
        <v>34</v>
      </c>
      <c r="D28" s="28" t="s">
        <v>34</v>
      </c>
      <c r="E28" s="27"/>
      <c r="F28" s="27"/>
      <c r="G28" s="27"/>
      <c r="H28" s="27"/>
    </row>
    <row r="29" spans="1:8" x14ac:dyDescent="0.25">
      <c r="A29" s="27" t="s">
        <v>62</v>
      </c>
      <c r="B29" s="28" t="s">
        <v>36</v>
      </c>
      <c r="C29" s="28" t="s">
        <v>34</v>
      </c>
      <c r="D29" s="28" t="s">
        <v>34</v>
      </c>
      <c r="E29" s="27"/>
      <c r="F29" s="27"/>
      <c r="G29" s="27"/>
      <c r="H29" s="27"/>
    </row>
    <row r="30" spans="1:8" x14ac:dyDescent="0.25">
      <c r="A30" s="27" t="s">
        <v>63</v>
      </c>
      <c r="B30" s="28" t="s">
        <v>36</v>
      </c>
      <c r="C30" s="28" t="s">
        <v>34</v>
      </c>
      <c r="D30" s="28" t="s">
        <v>36</v>
      </c>
      <c r="E30" s="27"/>
      <c r="F30" s="27"/>
      <c r="G30" s="27"/>
      <c r="H30" s="27"/>
    </row>
    <row r="31" spans="1:8" x14ac:dyDescent="0.25">
      <c r="A31" s="27" t="s">
        <v>64</v>
      </c>
      <c r="B31" s="28" t="s">
        <v>34</v>
      </c>
      <c r="C31" s="28" t="s">
        <v>36</v>
      </c>
      <c r="D31" s="28" t="s">
        <v>34</v>
      </c>
      <c r="E31" s="27"/>
      <c r="F31" s="27"/>
      <c r="G31" s="27"/>
      <c r="H31" s="27"/>
    </row>
    <row r="32" spans="1:8" x14ac:dyDescent="0.25">
      <c r="A32" s="27" t="s">
        <v>65</v>
      </c>
      <c r="B32" s="28" t="s">
        <v>34</v>
      </c>
      <c r="C32" s="28" t="s">
        <v>36</v>
      </c>
      <c r="D32" s="28" t="s">
        <v>34</v>
      </c>
      <c r="E32" s="27"/>
      <c r="F32" s="27"/>
      <c r="G32" s="27"/>
      <c r="H32" s="27"/>
    </row>
    <row r="33" spans="1:8" x14ac:dyDescent="0.25">
      <c r="A33" s="27" t="s">
        <v>66</v>
      </c>
      <c r="B33" s="28" t="s">
        <v>34</v>
      </c>
      <c r="C33" s="28" t="s">
        <v>34</v>
      </c>
      <c r="D33" s="28" t="s">
        <v>34</v>
      </c>
      <c r="E33" s="27"/>
      <c r="F33" s="27"/>
      <c r="G33" s="27"/>
      <c r="H33" s="27"/>
    </row>
    <row r="34" spans="1:8" x14ac:dyDescent="0.25">
      <c r="A34" s="27" t="s">
        <v>67</v>
      </c>
      <c r="B34" s="28" t="s">
        <v>36</v>
      </c>
      <c r="C34" s="28" t="s">
        <v>34</v>
      </c>
      <c r="D34" s="28" t="s">
        <v>34</v>
      </c>
      <c r="E34" s="27"/>
      <c r="F34" s="27"/>
      <c r="G34" s="27"/>
      <c r="H34" s="27"/>
    </row>
    <row r="35" spans="1:8" x14ac:dyDescent="0.25">
      <c r="A35" s="27" t="s">
        <v>68</v>
      </c>
      <c r="B35" s="28" t="s">
        <v>36</v>
      </c>
      <c r="C35" s="28" t="s">
        <v>34</v>
      </c>
      <c r="D35" s="28" t="s">
        <v>36</v>
      </c>
      <c r="E35" s="27"/>
      <c r="F35" s="27"/>
      <c r="G35" s="27"/>
      <c r="H35" s="27"/>
    </row>
    <row r="36" spans="1:8" x14ac:dyDescent="0.25">
      <c r="A36" s="27" t="s">
        <v>69</v>
      </c>
      <c r="B36" s="28" t="s">
        <v>34</v>
      </c>
      <c r="C36" s="28" t="s">
        <v>34</v>
      </c>
      <c r="D36" s="28" t="s">
        <v>34</v>
      </c>
      <c r="E36" s="27"/>
      <c r="F36" s="27"/>
      <c r="G36" s="27"/>
      <c r="H36" s="27"/>
    </row>
    <row r="37" spans="1:8" x14ac:dyDescent="0.25">
      <c r="A37" s="27" t="s">
        <v>70</v>
      </c>
      <c r="B37" s="28" t="s">
        <v>34</v>
      </c>
      <c r="C37" s="28" t="s">
        <v>36</v>
      </c>
      <c r="D37" s="28" t="s">
        <v>34</v>
      </c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27"/>
      <c r="B39" s="27"/>
      <c r="C39" s="27"/>
      <c r="D39" s="27"/>
      <c r="E39" s="27"/>
      <c r="F39" s="27"/>
      <c r="G39" s="27"/>
      <c r="H3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Specs</vt:lpstr>
      <vt:lpstr>Sheet1</vt:lpstr>
      <vt:lpstr>Specs!Print_Area</vt:lpstr>
      <vt:lpstr>Specs!Print_Titles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Michas</dc:creator>
  <cp:lastModifiedBy>Konstantine Sukhovarov</cp:lastModifiedBy>
  <cp:lastPrinted>2018-10-31T17:06:32Z</cp:lastPrinted>
  <dcterms:created xsi:type="dcterms:W3CDTF">2013-07-04T16:52:36Z</dcterms:created>
  <dcterms:modified xsi:type="dcterms:W3CDTF">2018-12-07T19:33:20Z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